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advantus1.sharepoint.com/sites/AdvantusOfficeAdministrators/Shared Documents/Monthly Report to KC/Blank forms for Wiki/"/>
    </mc:Choice>
  </mc:AlternateContent>
  <xr:revisionPtr revIDLastSave="528" documentId="8_{9A29E723-5AD5-4796-B80D-029DEC9007CD}" xr6:coauthVersionLast="47" xr6:coauthVersionMax="47" xr10:uidLastSave="{415C0454-FC3C-40BC-ABA8-BD0DB94780AE}"/>
  <bookViews>
    <workbookView xWindow="-120" yWindow="-120" windowWidth="29040" windowHeight="15840" firstSheet="56" activeTab="57" xr2:uid="{00000000-000D-0000-FFFF-FFFF00000000}"/>
  </bookViews>
  <sheets>
    <sheet name="Jan-April 2019" sheetId="14" r:id="rId1"/>
    <sheet name="May 2019" sheetId="2" r:id="rId2"/>
    <sheet name="June 2019" sheetId="1" r:id="rId3"/>
    <sheet name="July 2019" sheetId="3" r:id="rId4"/>
    <sheet name="August 2019" sheetId="4" r:id="rId5"/>
    <sheet name="Sept 2019" sheetId="5" r:id="rId6"/>
    <sheet name="Oct 2019" sheetId="6" r:id="rId7"/>
    <sheet name="Nov 2019" sheetId="7" r:id="rId8"/>
    <sheet name="Dec 2019" sheetId="8" r:id="rId9"/>
    <sheet name="Jan 2020" sheetId="10" r:id="rId10"/>
    <sheet name="Feb 2020" sheetId="11" r:id="rId11"/>
    <sheet name="Mar 2020" sheetId="13" r:id="rId12"/>
    <sheet name="Apr 2020" sheetId="15" r:id="rId13"/>
    <sheet name="May 2020" sheetId="16" r:id="rId14"/>
    <sheet name="June 2020" sheetId="17" r:id="rId15"/>
    <sheet name="July 2020" sheetId="18" r:id="rId16"/>
    <sheet name="Aug 2020" sheetId="19" r:id="rId17"/>
    <sheet name="Sep 2020" sheetId="20" r:id="rId18"/>
    <sheet name="Oct 2020" sheetId="21" r:id="rId19"/>
    <sheet name="Nov 2020" sheetId="22" r:id="rId20"/>
    <sheet name="Dec 2020" sheetId="23" r:id="rId21"/>
    <sheet name="2020 Summary" sheetId="12" r:id="rId22"/>
    <sheet name="Jan 2021" sheetId="25" r:id="rId23"/>
    <sheet name="Feb 2021" sheetId="26" r:id="rId24"/>
    <sheet name="Mar 2021" sheetId="27" r:id="rId25"/>
    <sheet name="Apr 2021" sheetId="28" r:id="rId26"/>
    <sheet name="May 2021" sheetId="29" r:id="rId27"/>
    <sheet name="June 2021" sheetId="30" r:id="rId28"/>
    <sheet name="July 2021" sheetId="31" r:id="rId29"/>
    <sheet name="Aug 2021" sheetId="32" r:id="rId30"/>
    <sheet name="Sept 2021" sheetId="33" r:id="rId31"/>
    <sheet name="Oct 2021" sheetId="34" r:id="rId32"/>
    <sheet name="Nov 2021" sheetId="35" r:id="rId33"/>
    <sheet name="Dec 2021" sheetId="36" r:id="rId34"/>
    <sheet name="2021 Summary" sheetId="24" r:id="rId35"/>
    <sheet name="Jan 2022" sheetId="37" r:id="rId36"/>
    <sheet name="Feb 2022" sheetId="39" r:id="rId37"/>
    <sheet name="March 2022" sheetId="40" r:id="rId38"/>
    <sheet name="April 2022" sheetId="41" r:id="rId39"/>
    <sheet name="May 2022" sheetId="42" r:id="rId40"/>
    <sheet name="June 2022" sheetId="43" r:id="rId41"/>
    <sheet name="July 2022" sheetId="44" r:id="rId42"/>
    <sheet name="August 2022" sheetId="45" r:id="rId43"/>
    <sheet name="Sept 2022" sheetId="46" r:id="rId44"/>
    <sheet name="Oct. 2022" sheetId="47" r:id="rId45"/>
    <sheet name="Nov. 2022" sheetId="48" r:id="rId46"/>
    <sheet name="Dec. 2022" sheetId="49" r:id="rId47"/>
    <sheet name="2022 Summary" sheetId="38" r:id="rId48"/>
    <sheet name="Jan 2023" sheetId="50" r:id="rId49"/>
    <sheet name="Feb 2023" sheetId="52" r:id="rId50"/>
    <sheet name="March 2023" sheetId="53" r:id="rId51"/>
    <sheet name="April 2023" sheetId="54" r:id="rId52"/>
    <sheet name="May 2023" sheetId="55" r:id="rId53"/>
    <sheet name="June 2023" sheetId="56" r:id="rId54"/>
    <sheet name="July 2023" sheetId="57" r:id="rId55"/>
    <sheet name="August 2023" sheetId="58" r:id="rId56"/>
    <sheet name="September 2023" sheetId="59" r:id="rId57"/>
    <sheet name="October 2023" sheetId="60" r:id="rId58"/>
    <sheet name="November 2023" sheetId="61" r:id="rId59"/>
    <sheet name="2023 Summary" sheetId="51" r:id="rId6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1" l="1"/>
  <c r="I2" i="61"/>
  <c r="G2" i="61"/>
  <c r="E108" i="61"/>
  <c r="E110" i="61" s="1"/>
  <c r="D108" i="61"/>
  <c r="D110" i="61" s="1"/>
  <c r="E104" i="61"/>
  <c r="D104" i="61"/>
  <c r="E101" i="61"/>
  <c r="D101" i="61"/>
  <c r="E98" i="61"/>
  <c r="D98" i="61"/>
  <c r="E94" i="61"/>
  <c r="D94" i="61"/>
  <c r="E89" i="61"/>
  <c r="D89" i="61"/>
  <c r="E85" i="61"/>
  <c r="D85" i="61"/>
  <c r="E77" i="61"/>
  <c r="D77" i="61"/>
  <c r="E74" i="61"/>
  <c r="D74" i="61"/>
  <c r="E65" i="61"/>
  <c r="D65" i="61"/>
  <c r="E60" i="61"/>
  <c r="D60" i="61"/>
  <c r="E56" i="61"/>
  <c r="D56" i="61"/>
  <c r="E53" i="61"/>
  <c r="D53" i="61"/>
  <c r="E24" i="61"/>
  <c r="D24" i="61"/>
  <c r="E21" i="61"/>
  <c r="D21" i="61"/>
  <c r="E18" i="61"/>
  <c r="D18" i="61"/>
  <c r="E11" i="61"/>
  <c r="D11" i="61"/>
  <c r="E11" i="51" l="1"/>
  <c r="E10" i="51"/>
  <c r="G2" i="59"/>
  <c r="E9" i="51"/>
  <c r="G2" i="58"/>
  <c r="H2" i="58"/>
  <c r="E91" i="58"/>
  <c r="D91" i="58"/>
  <c r="E88" i="58"/>
  <c r="D88" i="58"/>
  <c r="E85" i="58"/>
  <c r="D85" i="58"/>
  <c r="E80" i="58"/>
  <c r="D80" i="58"/>
  <c r="E77" i="58"/>
  <c r="D77" i="58"/>
  <c r="E67" i="58"/>
  <c r="D67" i="58"/>
  <c r="E64" i="58"/>
  <c r="D64" i="58"/>
  <c r="E57" i="58"/>
  <c r="D57" i="58"/>
  <c r="E54" i="58"/>
  <c r="D54" i="58"/>
  <c r="E49" i="58"/>
  <c r="D49" i="58"/>
  <c r="E46" i="58"/>
  <c r="D46" i="58"/>
  <c r="E25" i="58"/>
  <c r="D25" i="58"/>
  <c r="E22" i="58"/>
  <c r="D22" i="58"/>
  <c r="E18" i="58"/>
  <c r="D18" i="58"/>
  <c r="E13" i="58"/>
  <c r="D13" i="58"/>
  <c r="E8" i="51"/>
  <c r="G2" i="57"/>
  <c r="I2" i="57"/>
  <c r="K2" i="57"/>
  <c r="E7" i="51"/>
  <c r="G2" i="56"/>
  <c r="K2" i="56"/>
  <c r="E100" i="56"/>
  <c r="D100" i="56"/>
  <c r="E97" i="56"/>
  <c r="D97" i="56"/>
  <c r="E93" i="56"/>
  <c r="D93" i="56"/>
  <c r="D90" i="56"/>
  <c r="E89" i="56"/>
  <c r="E90" i="56" s="1"/>
  <c r="E87" i="56"/>
  <c r="D87" i="56"/>
  <c r="E84" i="56"/>
  <c r="D84" i="56"/>
  <c r="E81" i="56"/>
  <c r="D81" i="56"/>
  <c r="E78" i="56"/>
  <c r="D78" i="56"/>
  <c r="E74" i="56"/>
  <c r="D74" i="56"/>
  <c r="E71" i="56"/>
  <c r="D71" i="56"/>
  <c r="E57" i="56"/>
  <c r="D57" i="56"/>
  <c r="E51" i="56"/>
  <c r="D51" i="56"/>
  <c r="E48" i="56"/>
  <c r="D48" i="56"/>
  <c r="E43" i="56"/>
  <c r="D43" i="56"/>
  <c r="E40" i="56"/>
  <c r="D40" i="56"/>
  <c r="E24" i="56"/>
  <c r="D24" i="56"/>
  <c r="E21" i="56"/>
  <c r="D21" i="56"/>
  <c r="E18" i="56"/>
  <c r="D18" i="56"/>
  <c r="E12" i="56"/>
  <c r="D12" i="56"/>
  <c r="E6" i="51"/>
  <c r="H2" i="55"/>
  <c r="L2" i="55"/>
  <c r="I2" i="55"/>
  <c r="E78" i="55"/>
  <c r="D78" i="55"/>
  <c r="E75" i="55"/>
  <c r="D75" i="55"/>
  <c r="E72" i="55"/>
  <c r="D72" i="55"/>
  <c r="E69" i="55"/>
  <c r="D69" i="55"/>
  <c r="E66" i="55"/>
  <c r="D66" i="55"/>
  <c r="E63" i="55"/>
  <c r="D63" i="55"/>
  <c r="E60" i="55"/>
  <c r="D60" i="55"/>
  <c r="E57" i="55"/>
  <c r="D57" i="55"/>
  <c r="E53" i="55"/>
  <c r="D53" i="55"/>
  <c r="E43" i="55"/>
  <c r="D43" i="55"/>
  <c r="E40" i="55"/>
  <c r="D40" i="55"/>
  <c r="E37" i="55"/>
  <c r="D37" i="55"/>
  <c r="E34" i="55"/>
  <c r="D34" i="55"/>
  <c r="E31" i="55"/>
  <c r="D31" i="55"/>
  <c r="E18" i="55"/>
  <c r="D18" i="55"/>
  <c r="E15" i="55"/>
  <c r="D15" i="55"/>
  <c r="E10" i="55"/>
  <c r="D10" i="55"/>
  <c r="E5" i="51"/>
  <c r="L2" i="54"/>
  <c r="H2" i="54"/>
  <c r="E80" i="54"/>
  <c r="D80" i="54"/>
  <c r="E77" i="54"/>
  <c r="D77" i="54"/>
  <c r="E74" i="54"/>
  <c r="D74" i="54"/>
  <c r="D71" i="54"/>
  <c r="E70" i="54"/>
  <c r="E71" i="54" s="1"/>
  <c r="E68" i="54"/>
  <c r="D68" i="54"/>
  <c r="E65" i="54"/>
  <c r="D65" i="54"/>
  <c r="E62" i="54"/>
  <c r="D62" i="54"/>
  <c r="E58" i="54"/>
  <c r="D58" i="54"/>
  <c r="E55" i="54"/>
  <c r="D55" i="54"/>
  <c r="E46" i="54"/>
  <c r="D46" i="54"/>
  <c r="E43" i="54"/>
  <c r="D43" i="54"/>
  <c r="E39" i="54"/>
  <c r="D39" i="54"/>
  <c r="E36" i="54"/>
  <c r="D36" i="54"/>
  <c r="E32" i="54"/>
  <c r="D32" i="54"/>
  <c r="E29" i="54"/>
  <c r="D29" i="54"/>
  <c r="E18" i="54"/>
  <c r="D18" i="54"/>
  <c r="E15" i="54"/>
  <c r="D15" i="54"/>
  <c r="E12" i="54"/>
  <c r="D12" i="54"/>
  <c r="E8" i="54"/>
  <c r="D8" i="54"/>
  <c r="H2" i="53"/>
  <c r="E3" i="51"/>
  <c r="E4" i="51"/>
  <c r="J2" i="53"/>
  <c r="I2" i="53"/>
  <c r="G2" i="52"/>
  <c r="I2" i="52"/>
  <c r="E77" i="52"/>
  <c r="D77" i="52"/>
  <c r="E74" i="52"/>
  <c r="D74" i="52"/>
  <c r="E71" i="52"/>
  <c r="D71" i="52"/>
  <c r="E67" i="52"/>
  <c r="D67" i="52"/>
  <c r="E64" i="52"/>
  <c r="D64" i="52"/>
  <c r="E58" i="52"/>
  <c r="D58" i="52"/>
  <c r="E55" i="52"/>
  <c r="D55" i="52"/>
  <c r="E50" i="52"/>
  <c r="D50" i="52"/>
  <c r="E47" i="52"/>
  <c r="D47" i="52"/>
  <c r="E43" i="52"/>
  <c r="D43" i="52"/>
  <c r="E40" i="52"/>
  <c r="D40" i="52"/>
  <c r="E22" i="52"/>
  <c r="D22" i="52"/>
  <c r="E18" i="52"/>
  <c r="D18" i="52"/>
  <c r="E15" i="52"/>
  <c r="D15" i="52"/>
  <c r="E9" i="52"/>
  <c r="E79" i="52"/>
  <c r="D9" i="52"/>
  <c r="D79" i="52"/>
  <c r="C14" i="51"/>
  <c r="D14" i="51"/>
  <c r="E2" i="51"/>
  <c r="G2" i="50"/>
  <c r="I2" i="50"/>
  <c r="E75" i="50"/>
  <c r="E77" i="50"/>
  <c r="D75" i="50"/>
  <c r="E72" i="50"/>
  <c r="D72" i="50"/>
  <c r="D77" i="50"/>
  <c r="E69" i="50"/>
  <c r="D69" i="50"/>
  <c r="E68" i="50"/>
  <c r="E66" i="50"/>
  <c r="D66" i="50"/>
  <c r="E62" i="50"/>
  <c r="D62" i="50"/>
  <c r="E58" i="50"/>
  <c r="D58" i="50"/>
  <c r="E49" i="50"/>
  <c r="D49" i="50"/>
  <c r="E46" i="50"/>
  <c r="D46" i="50"/>
  <c r="E41" i="50"/>
  <c r="D41" i="50"/>
  <c r="E38" i="50"/>
  <c r="D38" i="50"/>
  <c r="E35" i="50"/>
  <c r="D35" i="50"/>
  <c r="E23" i="50"/>
  <c r="D23" i="50"/>
  <c r="E19" i="50"/>
  <c r="D19" i="50"/>
  <c r="E16" i="50"/>
  <c r="D16" i="50"/>
  <c r="E10" i="50"/>
  <c r="D10" i="50"/>
  <c r="E14" i="51"/>
  <c r="E13" i="38"/>
  <c r="E14" i="38"/>
  <c r="G2" i="49"/>
  <c r="J2" i="49"/>
  <c r="E85" i="49"/>
  <c r="E87" i="49"/>
  <c r="D85" i="49"/>
  <c r="D87" i="49"/>
  <c r="E82" i="49"/>
  <c r="D82" i="49"/>
  <c r="E77" i="49"/>
  <c r="D77" i="49"/>
  <c r="E74" i="49"/>
  <c r="D74" i="49"/>
  <c r="E63" i="49"/>
  <c r="D63" i="49"/>
  <c r="E60" i="49"/>
  <c r="D60" i="49"/>
  <c r="E55" i="49"/>
  <c r="D55" i="49"/>
  <c r="E52" i="49"/>
  <c r="D52" i="49"/>
  <c r="E49" i="49"/>
  <c r="D49" i="49"/>
  <c r="E46" i="49"/>
  <c r="D46" i="49"/>
  <c r="E25" i="49"/>
  <c r="D25" i="49"/>
  <c r="E20" i="49"/>
  <c r="D20" i="49"/>
  <c r="E16" i="49"/>
  <c r="D16" i="49"/>
  <c r="E12" i="49"/>
  <c r="D12" i="49"/>
  <c r="E9" i="49"/>
  <c r="D9" i="49"/>
  <c r="E12" i="38"/>
  <c r="J2" i="48"/>
  <c r="G2" i="48"/>
  <c r="E69" i="48"/>
  <c r="E71" i="48"/>
  <c r="D69" i="48"/>
  <c r="D71" i="48"/>
  <c r="E66" i="48"/>
  <c r="D66" i="48"/>
  <c r="E62" i="48"/>
  <c r="D62" i="48"/>
  <c r="E53" i="48"/>
  <c r="D53" i="48"/>
  <c r="E50" i="48"/>
  <c r="D50" i="48"/>
  <c r="E45" i="48"/>
  <c r="D45" i="48"/>
  <c r="E42" i="48"/>
  <c r="D42" i="48"/>
  <c r="E39" i="48"/>
  <c r="D39" i="48"/>
  <c r="E24" i="48"/>
  <c r="D24" i="48"/>
  <c r="E20" i="48"/>
  <c r="D20" i="48"/>
  <c r="E17" i="48"/>
  <c r="D17" i="48"/>
  <c r="E12" i="48"/>
  <c r="D12" i="48"/>
  <c r="E9" i="48"/>
  <c r="D9" i="48"/>
  <c r="E11" i="38"/>
  <c r="G2" i="47"/>
  <c r="J2" i="47"/>
  <c r="H2" i="47"/>
  <c r="E82" i="47"/>
  <c r="E84" i="47"/>
  <c r="D82" i="47"/>
  <c r="D84" i="47"/>
  <c r="E79" i="47"/>
  <c r="D79" i="47"/>
  <c r="E72" i="47"/>
  <c r="D72" i="47"/>
  <c r="E67" i="47"/>
  <c r="D67" i="47"/>
  <c r="E60" i="47"/>
  <c r="D60" i="47"/>
  <c r="E57" i="47"/>
  <c r="D57" i="47"/>
  <c r="E50" i="47"/>
  <c r="D50" i="47"/>
  <c r="E47" i="47"/>
  <c r="D47" i="47"/>
  <c r="E44" i="47"/>
  <c r="D44" i="47"/>
  <c r="E41" i="47"/>
  <c r="D41" i="47"/>
  <c r="E26" i="47"/>
  <c r="D26" i="47"/>
  <c r="E21" i="47"/>
  <c r="D21" i="47"/>
  <c r="E17" i="47"/>
  <c r="D17" i="47"/>
  <c r="E12" i="47"/>
  <c r="D12" i="47"/>
  <c r="E9" i="47"/>
  <c r="D9" i="47"/>
  <c r="E10" i="38"/>
  <c r="G2" i="46"/>
  <c r="J2" i="46"/>
  <c r="H2" i="46"/>
  <c r="E89" i="46"/>
  <c r="D89" i="46"/>
  <c r="D91" i="46"/>
  <c r="E86" i="46"/>
  <c r="D86" i="46"/>
  <c r="D80" i="46"/>
  <c r="E79" i="46"/>
  <c r="D79" i="46"/>
  <c r="E78" i="46"/>
  <c r="E80" i="46"/>
  <c r="E75" i="46"/>
  <c r="D75" i="46"/>
  <c r="E71" i="46"/>
  <c r="D71" i="46"/>
  <c r="E62" i="46"/>
  <c r="D62" i="46"/>
  <c r="E59" i="46"/>
  <c r="D59" i="46"/>
  <c r="E54" i="46"/>
  <c r="D54" i="46"/>
  <c r="E51" i="46"/>
  <c r="D51" i="46"/>
  <c r="E48" i="46"/>
  <c r="D48" i="46"/>
  <c r="E45" i="46"/>
  <c r="D45" i="46"/>
  <c r="E28" i="46"/>
  <c r="D28" i="46"/>
  <c r="E23" i="46"/>
  <c r="D23" i="46"/>
  <c r="E18" i="46"/>
  <c r="D18" i="46"/>
  <c r="E14" i="46"/>
  <c r="D14" i="46"/>
  <c r="E11" i="46"/>
  <c r="D11" i="46"/>
  <c r="E8" i="46"/>
  <c r="D8" i="46"/>
  <c r="E9" i="38"/>
  <c r="H2" i="45"/>
  <c r="E95" i="45"/>
  <c r="D95" i="45"/>
  <c r="E92" i="45"/>
  <c r="D92" i="45"/>
  <c r="E89" i="45"/>
  <c r="D89" i="45"/>
  <c r="E84" i="45"/>
  <c r="E86" i="45"/>
  <c r="D84" i="45"/>
  <c r="D86" i="45"/>
  <c r="D82" i="45"/>
  <c r="E79" i="45"/>
  <c r="E82" i="45"/>
  <c r="E77" i="45"/>
  <c r="D77" i="45"/>
  <c r="E73" i="45"/>
  <c r="D73" i="45"/>
  <c r="E65" i="45"/>
  <c r="D65" i="45"/>
  <c r="E62" i="45"/>
  <c r="D62" i="45"/>
  <c r="E58" i="45"/>
  <c r="G2" i="45"/>
  <c r="D58" i="45"/>
  <c r="E52" i="45"/>
  <c r="D52" i="45"/>
  <c r="E49" i="45"/>
  <c r="D49" i="45"/>
  <c r="E46" i="45"/>
  <c r="D46" i="45"/>
  <c r="E29" i="45"/>
  <c r="D29" i="45"/>
  <c r="E28" i="45"/>
  <c r="E24" i="45"/>
  <c r="D24" i="45"/>
  <c r="E20" i="45"/>
  <c r="D20" i="45"/>
  <c r="E17" i="45"/>
  <c r="D17" i="45"/>
  <c r="E13" i="45"/>
  <c r="D13" i="45"/>
  <c r="E10" i="45"/>
  <c r="D10" i="45"/>
  <c r="G2" i="44"/>
  <c r="K2" i="45"/>
  <c r="J2" i="45"/>
  <c r="E8" i="38"/>
  <c r="K2" i="44"/>
  <c r="J2" i="44"/>
  <c r="H2" i="44"/>
  <c r="E98" i="44"/>
  <c r="D98" i="44"/>
  <c r="E95" i="44"/>
  <c r="D95" i="44"/>
  <c r="E92" i="44"/>
  <c r="D92" i="44"/>
  <c r="E89" i="44"/>
  <c r="D89" i="44"/>
  <c r="E85" i="44"/>
  <c r="D85" i="44"/>
  <c r="E82" i="44"/>
  <c r="D82" i="44"/>
  <c r="E78" i="44"/>
  <c r="D78" i="44"/>
  <c r="E72" i="44"/>
  <c r="D72" i="44"/>
  <c r="E69" i="44"/>
  <c r="D69" i="44"/>
  <c r="E65" i="44"/>
  <c r="D65" i="44"/>
  <c r="E59" i="44"/>
  <c r="D59" i="44"/>
  <c r="E54" i="44"/>
  <c r="D54" i="44"/>
  <c r="E51" i="44"/>
  <c r="D51" i="44"/>
  <c r="E30" i="44"/>
  <c r="D30" i="44"/>
  <c r="E25" i="44"/>
  <c r="D25" i="44"/>
  <c r="E20" i="44"/>
  <c r="D20" i="44"/>
  <c r="E17" i="44"/>
  <c r="D17" i="44"/>
  <c r="E12" i="44"/>
  <c r="D12" i="44"/>
  <c r="E9" i="44"/>
  <c r="D9" i="44"/>
  <c r="E7" i="38"/>
  <c r="G2" i="43"/>
  <c r="I2" i="43"/>
  <c r="J2" i="43"/>
  <c r="K2" i="43"/>
  <c r="E102" i="43"/>
  <c r="D102" i="43"/>
  <c r="E99" i="43"/>
  <c r="D99" i="43"/>
  <c r="E96" i="43"/>
  <c r="D96" i="43"/>
  <c r="E93" i="43"/>
  <c r="D93" i="43"/>
  <c r="E89" i="43"/>
  <c r="D89" i="43"/>
  <c r="E83" i="43"/>
  <c r="D83" i="43"/>
  <c r="E79" i="43"/>
  <c r="D79" i="43"/>
  <c r="E75" i="43"/>
  <c r="D75" i="43"/>
  <c r="E70" i="43"/>
  <c r="D70" i="43"/>
  <c r="E65" i="43"/>
  <c r="D65" i="43"/>
  <c r="E60" i="43"/>
  <c r="D60" i="43"/>
  <c r="E55" i="43"/>
  <c r="D55" i="43"/>
  <c r="E52" i="43"/>
  <c r="D52" i="43"/>
  <c r="E29" i="43"/>
  <c r="D29" i="43"/>
  <c r="E24" i="43"/>
  <c r="D24" i="43"/>
  <c r="E19" i="43"/>
  <c r="D19" i="43"/>
  <c r="E16" i="43"/>
  <c r="D16" i="43"/>
  <c r="E12" i="43"/>
  <c r="D12" i="43"/>
  <c r="E9" i="43"/>
  <c r="D9" i="43"/>
  <c r="E6" i="38"/>
  <c r="D105" i="42"/>
  <c r="G2" i="42"/>
  <c r="J2" i="42"/>
  <c r="K2" i="42"/>
  <c r="E103" i="42"/>
  <c r="D103" i="42"/>
  <c r="E100" i="42"/>
  <c r="D100" i="42"/>
  <c r="D93" i="42"/>
  <c r="E91" i="42"/>
  <c r="E93" i="42"/>
  <c r="D91" i="42"/>
  <c r="E89" i="42"/>
  <c r="D89" i="42"/>
  <c r="E83" i="42"/>
  <c r="D83" i="42"/>
  <c r="E79" i="42"/>
  <c r="D79" i="42"/>
  <c r="E75" i="42"/>
  <c r="D75" i="42"/>
  <c r="E68" i="42"/>
  <c r="D68" i="42"/>
  <c r="E65" i="42"/>
  <c r="D65" i="42"/>
  <c r="E58" i="42"/>
  <c r="D58" i="42"/>
  <c r="E54" i="42"/>
  <c r="D54" i="42"/>
  <c r="E49" i="42"/>
  <c r="D49" i="42"/>
  <c r="E45" i="42"/>
  <c r="D45" i="42"/>
  <c r="E23" i="42"/>
  <c r="D23" i="42"/>
  <c r="E18" i="42"/>
  <c r="D18" i="42"/>
  <c r="E11" i="42"/>
  <c r="D11" i="42"/>
  <c r="E8" i="42"/>
  <c r="D8" i="42"/>
  <c r="G2" i="41"/>
  <c r="K2" i="41"/>
  <c r="H2" i="41"/>
  <c r="E102" i="41"/>
  <c r="D102" i="41"/>
  <c r="D101" i="41"/>
  <c r="E99" i="41"/>
  <c r="D99" i="41"/>
  <c r="E96" i="41"/>
  <c r="D96" i="41"/>
  <c r="E93" i="41"/>
  <c r="D93" i="41"/>
  <c r="E90" i="41"/>
  <c r="D90" i="41"/>
  <c r="E84" i="41"/>
  <c r="D84" i="41"/>
  <c r="E80" i="41"/>
  <c r="D80" i="41"/>
  <c r="E76" i="41"/>
  <c r="D76" i="41"/>
  <c r="E68" i="41"/>
  <c r="D68" i="41"/>
  <c r="E65" i="41"/>
  <c r="D65" i="41"/>
  <c r="E60" i="41"/>
  <c r="D60" i="41"/>
  <c r="E56" i="41"/>
  <c r="D56" i="41"/>
  <c r="E51" i="41"/>
  <c r="D51" i="41"/>
  <c r="E48" i="41"/>
  <c r="D48" i="41"/>
  <c r="E26" i="41"/>
  <c r="D26" i="41"/>
  <c r="E21" i="41"/>
  <c r="D21" i="41"/>
  <c r="E17" i="41"/>
  <c r="D17" i="41"/>
  <c r="E14" i="41"/>
  <c r="D14" i="41"/>
  <c r="E11" i="41"/>
  <c r="D11" i="41"/>
  <c r="E8" i="41"/>
  <c r="D8" i="41"/>
  <c r="G2" i="40"/>
  <c r="H2" i="40"/>
  <c r="K2" i="40"/>
  <c r="G2" i="39"/>
  <c r="K2" i="39"/>
  <c r="I2" i="39"/>
  <c r="H2" i="39"/>
  <c r="E99" i="40"/>
  <c r="D99" i="40"/>
  <c r="E96" i="40"/>
  <c r="D96" i="40"/>
  <c r="E90" i="40"/>
  <c r="D90" i="40"/>
  <c r="E84" i="40"/>
  <c r="D84" i="40"/>
  <c r="E78" i="40"/>
  <c r="D78" i="40"/>
  <c r="E74" i="40"/>
  <c r="D74" i="40"/>
  <c r="E70" i="40"/>
  <c r="D70" i="40"/>
  <c r="E64" i="40"/>
  <c r="D64" i="40"/>
  <c r="E61" i="40"/>
  <c r="D61" i="40"/>
  <c r="E56" i="40"/>
  <c r="D56" i="40"/>
  <c r="E53" i="40"/>
  <c r="D53" i="40"/>
  <c r="E48" i="40"/>
  <c r="D48" i="40"/>
  <c r="E45" i="40"/>
  <c r="D45" i="40"/>
  <c r="E19" i="40"/>
  <c r="D19" i="40"/>
  <c r="E14" i="40"/>
  <c r="D14" i="40"/>
  <c r="E11" i="40"/>
  <c r="D11" i="40"/>
  <c r="E8" i="40"/>
  <c r="D8" i="40"/>
  <c r="E84" i="39"/>
  <c r="D84" i="39"/>
  <c r="E74" i="39"/>
  <c r="D74" i="39"/>
  <c r="E70" i="39"/>
  <c r="D70" i="39"/>
  <c r="E66" i="39"/>
  <c r="D66" i="39"/>
  <c r="E62" i="39"/>
  <c r="D62" i="39"/>
  <c r="E55" i="39"/>
  <c r="D55" i="39"/>
  <c r="E49" i="39"/>
  <c r="D49" i="39"/>
  <c r="E45" i="39"/>
  <c r="D45" i="39"/>
  <c r="E39" i="39"/>
  <c r="D39" i="39"/>
  <c r="E19" i="39"/>
  <c r="D19" i="39"/>
  <c r="E14" i="39"/>
  <c r="D14" i="39"/>
  <c r="E10" i="39"/>
  <c r="D10" i="39"/>
  <c r="E7" i="39"/>
  <c r="D7" i="39"/>
  <c r="H2" i="37"/>
  <c r="G2" i="37"/>
  <c r="I2" i="37"/>
  <c r="K2" i="37"/>
  <c r="E96" i="37"/>
  <c r="D96" i="37"/>
  <c r="E79" i="37"/>
  <c r="D79" i="37"/>
  <c r="E75" i="37"/>
  <c r="D75" i="37"/>
  <c r="E71" i="37"/>
  <c r="D71" i="37"/>
  <c r="E64" i="37"/>
  <c r="D64" i="37"/>
  <c r="D55" i="37"/>
  <c r="E51" i="37"/>
  <c r="E55" i="37"/>
  <c r="D51" i="37"/>
  <c r="E46" i="37"/>
  <c r="D46" i="37"/>
  <c r="E23" i="37"/>
  <c r="D23" i="37"/>
  <c r="E18" i="37"/>
  <c r="D18" i="37"/>
  <c r="E14" i="37"/>
  <c r="D14" i="37"/>
  <c r="E7" i="37"/>
  <c r="D7" i="37"/>
  <c r="D14" i="38"/>
  <c r="C14" i="38"/>
  <c r="E5" i="38"/>
  <c r="E4" i="38"/>
  <c r="E3" i="38"/>
  <c r="E2" i="38"/>
  <c r="K2" i="36"/>
  <c r="J2" i="36"/>
  <c r="I2" i="36"/>
  <c r="H2" i="36"/>
  <c r="G2" i="36"/>
  <c r="E106" i="36"/>
  <c r="E108" i="36"/>
  <c r="D106" i="36"/>
  <c r="E103" i="36"/>
  <c r="D103" i="36"/>
  <c r="E100" i="36"/>
  <c r="D100" i="36"/>
  <c r="E97" i="36"/>
  <c r="D97" i="36"/>
  <c r="E93" i="36"/>
  <c r="D93" i="36"/>
  <c r="E90" i="36"/>
  <c r="D90" i="36"/>
  <c r="E87" i="36"/>
  <c r="D87" i="36"/>
  <c r="E84" i="36"/>
  <c r="D84" i="36"/>
  <c r="E80" i="36"/>
  <c r="D80" i="36"/>
  <c r="E76" i="36"/>
  <c r="D76" i="36"/>
  <c r="E72" i="36"/>
  <c r="D72" i="36"/>
  <c r="E65" i="36"/>
  <c r="D65" i="36"/>
  <c r="E60" i="36"/>
  <c r="D60" i="36"/>
  <c r="E57" i="36"/>
  <c r="D57" i="36"/>
  <c r="E51" i="36"/>
  <c r="D51" i="36"/>
  <c r="E47" i="36"/>
  <c r="D47" i="36"/>
  <c r="E24" i="36"/>
  <c r="D24" i="36"/>
  <c r="E18" i="36"/>
  <c r="D18" i="36"/>
  <c r="E14" i="36"/>
  <c r="D14" i="36"/>
  <c r="E10" i="36"/>
  <c r="D10" i="36"/>
  <c r="E7" i="36"/>
  <c r="D7" i="36"/>
  <c r="I2" i="35"/>
  <c r="H2" i="35"/>
  <c r="D101" i="35"/>
  <c r="E100" i="35"/>
  <c r="E101" i="35"/>
  <c r="D100" i="35"/>
  <c r="D98" i="35"/>
  <c r="E97" i="35"/>
  <c r="D97" i="35"/>
  <c r="E95" i="35"/>
  <c r="D95" i="35"/>
  <c r="E91" i="35"/>
  <c r="D91" i="35"/>
  <c r="E88" i="35"/>
  <c r="D88" i="35"/>
  <c r="D85" i="35"/>
  <c r="E83" i="35"/>
  <c r="G2" i="35"/>
  <c r="E78" i="35"/>
  <c r="D78" i="35"/>
  <c r="E74" i="35"/>
  <c r="D74" i="35"/>
  <c r="E70" i="35"/>
  <c r="D70" i="35"/>
  <c r="E66" i="35"/>
  <c r="D66" i="35"/>
  <c r="E61" i="35"/>
  <c r="D61" i="35"/>
  <c r="E58" i="35"/>
  <c r="D58" i="35"/>
  <c r="E52" i="35"/>
  <c r="D52" i="35"/>
  <c r="E47" i="35"/>
  <c r="D47" i="35"/>
  <c r="E24" i="35"/>
  <c r="E23" i="35"/>
  <c r="D23" i="35"/>
  <c r="D24" i="35"/>
  <c r="E18" i="35"/>
  <c r="D18" i="35"/>
  <c r="E14" i="35"/>
  <c r="D14" i="35"/>
  <c r="E10" i="35"/>
  <c r="D10" i="35"/>
  <c r="E7" i="35"/>
  <c r="D7" i="35"/>
  <c r="J2" i="34"/>
  <c r="I2" i="34"/>
  <c r="H2" i="34"/>
  <c r="E117" i="34"/>
  <c r="E118" i="34"/>
  <c r="D117" i="34"/>
  <c r="D118" i="34"/>
  <c r="E114" i="34"/>
  <c r="E115" i="34"/>
  <c r="D114" i="34"/>
  <c r="D115" i="34"/>
  <c r="E112" i="34"/>
  <c r="D112" i="34"/>
  <c r="E109" i="34"/>
  <c r="D109" i="34"/>
  <c r="E106" i="34"/>
  <c r="D106" i="34"/>
  <c r="E101" i="34"/>
  <c r="D101" i="34"/>
  <c r="E98" i="34"/>
  <c r="D98" i="34"/>
  <c r="E95" i="34"/>
  <c r="D95" i="34"/>
  <c r="E92" i="34"/>
  <c r="D92" i="34"/>
  <c r="E89" i="34"/>
  <c r="D89" i="34"/>
  <c r="E82" i="34"/>
  <c r="D82" i="34"/>
  <c r="E78" i="34"/>
  <c r="D78" i="34"/>
  <c r="E74" i="34"/>
  <c r="D74" i="34"/>
  <c r="E67" i="34"/>
  <c r="D67" i="34"/>
  <c r="E64" i="34"/>
  <c r="D64" i="34"/>
  <c r="E58" i="34"/>
  <c r="D58" i="34"/>
  <c r="E53" i="34"/>
  <c r="G2" i="34"/>
  <c r="D53" i="34"/>
  <c r="D54" i="34"/>
  <c r="E48" i="34"/>
  <c r="D48" i="34"/>
  <c r="E44" i="34"/>
  <c r="D44" i="34"/>
  <c r="E23" i="34"/>
  <c r="D23" i="34"/>
  <c r="E18" i="34"/>
  <c r="D18" i="34"/>
  <c r="E15" i="34"/>
  <c r="D15" i="34"/>
  <c r="E11" i="34"/>
  <c r="D11" i="34"/>
  <c r="E8" i="34"/>
  <c r="D8" i="34"/>
  <c r="J2" i="33"/>
  <c r="I2" i="33"/>
  <c r="H2" i="33"/>
  <c r="G2" i="33"/>
  <c r="E102" i="33"/>
  <c r="D102" i="33"/>
  <c r="E99" i="33"/>
  <c r="D99" i="33"/>
  <c r="E96" i="33"/>
  <c r="D96" i="33"/>
  <c r="E93" i="33"/>
  <c r="D93" i="33"/>
  <c r="E90" i="33"/>
  <c r="D90" i="33"/>
  <c r="E87" i="33"/>
  <c r="D87" i="33"/>
  <c r="E83" i="33"/>
  <c r="D83" i="33"/>
  <c r="E74" i="33"/>
  <c r="D74" i="33"/>
  <c r="E70" i="33"/>
  <c r="D70" i="33"/>
  <c r="E65" i="33"/>
  <c r="D65" i="33"/>
  <c r="E60" i="33"/>
  <c r="D60" i="33"/>
  <c r="E57" i="33"/>
  <c r="D57" i="33"/>
  <c r="E54" i="33"/>
  <c r="D54" i="33"/>
  <c r="E48" i="33"/>
  <c r="D48" i="33"/>
  <c r="E44" i="33"/>
  <c r="D44" i="33"/>
  <c r="E23" i="33"/>
  <c r="D23" i="33"/>
  <c r="E18" i="33"/>
  <c r="D18" i="33"/>
  <c r="E15" i="33"/>
  <c r="D15" i="33"/>
  <c r="E8" i="33"/>
  <c r="D8" i="33"/>
  <c r="J2" i="32"/>
  <c r="I2" i="32"/>
  <c r="H2" i="32"/>
  <c r="E98" i="32"/>
  <c r="D98" i="32"/>
  <c r="E92" i="32"/>
  <c r="D92" i="32"/>
  <c r="E75" i="32"/>
  <c r="D75" i="32"/>
  <c r="E70" i="32"/>
  <c r="D70" i="32"/>
  <c r="E63" i="32"/>
  <c r="D63" i="32"/>
  <c r="E58" i="32"/>
  <c r="D58" i="32"/>
  <c r="E50" i="32"/>
  <c r="D50" i="32"/>
  <c r="E42" i="32"/>
  <c r="E40" i="32"/>
  <c r="G2" i="32"/>
  <c r="D40" i="32"/>
  <c r="D42" i="32"/>
  <c r="E26" i="32"/>
  <c r="D26" i="32"/>
  <c r="E15" i="32"/>
  <c r="D15" i="32"/>
  <c r="E8" i="32"/>
  <c r="E106" i="32"/>
  <c r="D8" i="32"/>
  <c r="J2" i="31"/>
  <c r="I2" i="31"/>
  <c r="H2" i="31"/>
  <c r="E104" i="31"/>
  <c r="D104" i="31"/>
  <c r="E101" i="31"/>
  <c r="D101" i="31"/>
  <c r="E98" i="31"/>
  <c r="D98" i="31"/>
  <c r="E94" i="31"/>
  <c r="D94" i="31"/>
  <c r="E91" i="31"/>
  <c r="D91" i="31"/>
  <c r="E85" i="31"/>
  <c r="D85" i="31"/>
  <c r="E82" i="31"/>
  <c r="D82" i="31"/>
  <c r="E79" i="31"/>
  <c r="D79" i="31"/>
  <c r="E76" i="31"/>
  <c r="D76" i="31"/>
  <c r="E73" i="31"/>
  <c r="D73" i="31"/>
  <c r="E70" i="31"/>
  <c r="D70" i="31"/>
  <c r="E66" i="31"/>
  <c r="D66" i="31"/>
  <c r="E62" i="31"/>
  <c r="D62" i="31"/>
  <c r="E59" i="31"/>
  <c r="D59" i="31"/>
  <c r="E54" i="31"/>
  <c r="D54" i="31"/>
  <c r="E49" i="31"/>
  <c r="D49" i="31"/>
  <c r="E45" i="31"/>
  <c r="D45" i="31"/>
  <c r="D42" i="31"/>
  <c r="E37" i="31"/>
  <c r="G2" i="31"/>
  <c r="E42" i="31"/>
  <c r="E24" i="31"/>
  <c r="D24" i="31"/>
  <c r="E18" i="31"/>
  <c r="D18" i="31"/>
  <c r="E15" i="31"/>
  <c r="D15" i="31"/>
  <c r="E11" i="31"/>
  <c r="D11" i="31"/>
  <c r="E8" i="31"/>
  <c r="D8" i="31"/>
  <c r="D106" i="31"/>
  <c r="I2" i="30"/>
  <c r="H2" i="30"/>
  <c r="E112" i="30"/>
  <c r="D112" i="30"/>
  <c r="E109" i="30"/>
  <c r="D109" i="30"/>
  <c r="E106" i="30"/>
  <c r="D106" i="30"/>
  <c r="E102" i="30"/>
  <c r="D102" i="30"/>
  <c r="E97" i="30"/>
  <c r="D97" i="30"/>
  <c r="E94" i="30"/>
  <c r="D94" i="30"/>
  <c r="E91" i="30"/>
  <c r="D91" i="30"/>
  <c r="E88" i="30"/>
  <c r="D88" i="30"/>
  <c r="E85" i="30"/>
  <c r="D85" i="30"/>
  <c r="E81" i="30"/>
  <c r="E82" i="30"/>
  <c r="D81" i="30"/>
  <c r="D82" i="30"/>
  <c r="E78" i="30"/>
  <c r="D78" i="30"/>
  <c r="E70" i="30"/>
  <c r="D70" i="30"/>
  <c r="E66" i="30"/>
  <c r="D66" i="30"/>
  <c r="E62" i="30"/>
  <c r="D62" i="30"/>
  <c r="E57" i="30"/>
  <c r="D57" i="30"/>
  <c r="E51" i="30"/>
  <c r="D51" i="30"/>
  <c r="E48" i="30"/>
  <c r="D48" i="30"/>
  <c r="E44" i="30"/>
  <c r="D44" i="30"/>
  <c r="E22" i="30"/>
  <c r="D22" i="30"/>
  <c r="D39" i="30"/>
  <c r="E20" i="30"/>
  <c r="D20" i="30"/>
  <c r="E15" i="30"/>
  <c r="D15" i="30"/>
  <c r="E10" i="30"/>
  <c r="D10" i="30"/>
  <c r="E7" i="30"/>
  <c r="D7" i="30"/>
  <c r="J2" i="29"/>
  <c r="G2" i="29"/>
  <c r="E46" i="29"/>
  <c r="D46" i="29"/>
  <c r="E41" i="29"/>
  <c r="D41" i="29"/>
  <c r="E32" i="29"/>
  <c r="D32" i="29"/>
  <c r="D97" i="29"/>
  <c r="H2" i="29"/>
  <c r="E6" i="29"/>
  <c r="D6" i="29"/>
  <c r="E66" i="29"/>
  <c r="D66" i="29"/>
  <c r="E63" i="29"/>
  <c r="D63" i="29"/>
  <c r="I2" i="29"/>
  <c r="E14" i="29"/>
  <c r="D14" i="29"/>
  <c r="E87" i="29"/>
  <c r="D87" i="29"/>
  <c r="D83" i="29"/>
  <c r="E81" i="29"/>
  <c r="E83" i="29"/>
  <c r="E69" i="29"/>
  <c r="D69" i="29"/>
  <c r="E60" i="29"/>
  <c r="D60" i="29"/>
  <c r="E56" i="29"/>
  <c r="D56" i="29"/>
  <c r="E53" i="29"/>
  <c r="D53" i="29"/>
  <c r="E18" i="29"/>
  <c r="D18" i="29"/>
  <c r="E9" i="29"/>
  <c r="D9" i="29"/>
  <c r="H2" i="28"/>
  <c r="G2" i="28"/>
  <c r="E101" i="28"/>
  <c r="D101" i="28"/>
  <c r="E91" i="28"/>
  <c r="D91" i="28"/>
  <c r="E88" i="28"/>
  <c r="D88" i="28"/>
  <c r="E78" i="28"/>
  <c r="D78" i="28"/>
  <c r="E74" i="28"/>
  <c r="D74" i="28"/>
  <c r="E70" i="28"/>
  <c r="D70" i="28"/>
  <c r="E67" i="28"/>
  <c r="D67" i="28"/>
  <c r="E57" i="28"/>
  <c r="D57" i="28"/>
  <c r="E51" i="28"/>
  <c r="D51" i="28"/>
  <c r="E48" i="28"/>
  <c r="D48" i="28"/>
  <c r="E42" i="28"/>
  <c r="D42" i="28"/>
  <c r="E38" i="28"/>
  <c r="D38" i="28"/>
  <c r="E19" i="28"/>
  <c r="D19" i="28"/>
  <c r="E14" i="28"/>
  <c r="D14" i="28"/>
  <c r="E11" i="28"/>
  <c r="E106" i="28"/>
  <c r="D11" i="28"/>
  <c r="D106" i="28"/>
  <c r="E7" i="28"/>
  <c r="D7" i="28"/>
  <c r="G2" i="27"/>
  <c r="H2" i="27"/>
  <c r="E76" i="27"/>
  <c r="D76" i="27"/>
  <c r="E72" i="27"/>
  <c r="D72" i="27"/>
  <c r="E69" i="27"/>
  <c r="D69" i="27"/>
  <c r="E66" i="27"/>
  <c r="D66" i="27"/>
  <c r="D62" i="27"/>
  <c r="E60" i="27"/>
  <c r="E62" i="27"/>
  <c r="E58" i="27"/>
  <c r="D58" i="27"/>
  <c r="E54" i="27"/>
  <c r="D54" i="27"/>
  <c r="E47" i="27"/>
  <c r="D47" i="27"/>
  <c r="E43" i="27"/>
  <c r="D43" i="27"/>
  <c r="E40" i="27"/>
  <c r="D40" i="27"/>
  <c r="E37" i="27"/>
  <c r="D37" i="27"/>
  <c r="E33" i="27"/>
  <c r="D33" i="27"/>
  <c r="E18" i="27"/>
  <c r="D18" i="27"/>
  <c r="E13" i="27"/>
  <c r="D13" i="27"/>
  <c r="E9" i="27"/>
  <c r="D9" i="27"/>
  <c r="E5" i="27"/>
  <c r="E80" i="27"/>
  <c r="D5" i="27"/>
  <c r="D80" i="27"/>
  <c r="G2" i="26"/>
  <c r="E85" i="26"/>
  <c r="D85" i="26"/>
  <c r="E82" i="26"/>
  <c r="D82" i="26"/>
  <c r="E78" i="26"/>
  <c r="D78" i="26"/>
  <c r="E75" i="26"/>
  <c r="D75" i="26"/>
  <c r="E72" i="26"/>
  <c r="D72" i="26"/>
  <c r="D67" i="26"/>
  <c r="E65" i="26"/>
  <c r="E63" i="26"/>
  <c r="D63" i="26"/>
  <c r="E59" i="26"/>
  <c r="D59" i="26"/>
  <c r="E51" i="26"/>
  <c r="D51" i="26"/>
  <c r="E45" i="26"/>
  <c r="D45" i="26"/>
  <c r="E41" i="26"/>
  <c r="D41" i="26"/>
  <c r="E36" i="26"/>
  <c r="D36" i="26"/>
  <c r="E32" i="26"/>
  <c r="D32" i="26"/>
  <c r="E20" i="26"/>
  <c r="D20" i="26"/>
  <c r="E15" i="26"/>
  <c r="D15" i="26"/>
  <c r="E12" i="26"/>
  <c r="D12" i="26"/>
  <c r="E8" i="26"/>
  <c r="D8" i="26"/>
  <c r="E5" i="26"/>
  <c r="D5" i="26"/>
  <c r="D91" i="26"/>
  <c r="I2" i="25"/>
  <c r="H2" i="25"/>
  <c r="G2" i="25"/>
  <c r="E79" i="25"/>
  <c r="D79" i="25"/>
  <c r="E75" i="25"/>
  <c r="D75" i="25"/>
  <c r="E72" i="25"/>
  <c r="D72" i="25"/>
  <c r="D66" i="25"/>
  <c r="E64" i="25"/>
  <c r="E66" i="25"/>
  <c r="E62" i="25"/>
  <c r="D62" i="25"/>
  <c r="E58" i="25"/>
  <c r="D58" i="25"/>
  <c r="E48" i="25"/>
  <c r="D48" i="25"/>
  <c r="E39" i="25"/>
  <c r="D39" i="25"/>
  <c r="E34" i="25"/>
  <c r="D34" i="25"/>
  <c r="E30" i="25"/>
  <c r="D30" i="25"/>
  <c r="E17" i="25"/>
  <c r="D17" i="25"/>
  <c r="E9" i="25"/>
  <c r="D9" i="25"/>
  <c r="E6" i="25"/>
  <c r="D6" i="25"/>
  <c r="D14" i="24"/>
  <c r="C14" i="24"/>
  <c r="E13" i="24"/>
  <c r="E12" i="24"/>
  <c r="E14" i="24"/>
  <c r="E11" i="24"/>
  <c r="E10" i="24"/>
  <c r="E9" i="24"/>
  <c r="E8" i="24"/>
  <c r="E7" i="24"/>
  <c r="E6" i="24"/>
  <c r="E5" i="24"/>
  <c r="E4" i="24"/>
  <c r="E3" i="24"/>
  <c r="E2" i="24"/>
  <c r="E13" i="12"/>
  <c r="H2" i="23"/>
  <c r="G2" i="23"/>
  <c r="E75" i="23"/>
  <c r="D75" i="23"/>
  <c r="E66" i="23"/>
  <c r="D66" i="23"/>
  <c r="E62" i="23"/>
  <c r="D62" i="23"/>
  <c r="E56" i="23"/>
  <c r="D56" i="23"/>
  <c r="D53" i="23"/>
  <c r="E51" i="23"/>
  <c r="E53" i="23"/>
  <c r="E49" i="23"/>
  <c r="D49" i="23"/>
  <c r="E45" i="23"/>
  <c r="D45" i="23"/>
  <c r="E41" i="23"/>
  <c r="D41" i="23"/>
  <c r="E33" i="23"/>
  <c r="D33" i="23"/>
  <c r="E29" i="23"/>
  <c r="D29" i="23"/>
  <c r="E28" i="23"/>
  <c r="E25" i="23"/>
  <c r="D25" i="23"/>
  <c r="E12" i="23"/>
  <c r="D12" i="23"/>
  <c r="E7" i="23"/>
  <c r="D7" i="23"/>
  <c r="E4" i="23"/>
  <c r="D4" i="23"/>
  <c r="E12" i="12"/>
  <c r="I2" i="22"/>
  <c r="H2" i="22"/>
  <c r="E110" i="22"/>
  <c r="D110" i="22"/>
  <c r="E95" i="22"/>
  <c r="D95" i="22"/>
  <c r="E83" i="22"/>
  <c r="D83" i="22"/>
  <c r="E79" i="22"/>
  <c r="D79" i="22"/>
  <c r="D76" i="22"/>
  <c r="E75" i="22"/>
  <c r="E76" i="22"/>
  <c r="E67" i="22"/>
  <c r="D67" i="22"/>
  <c r="D61" i="22"/>
  <c r="E59" i="22"/>
  <c r="E61" i="22"/>
  <c r="E57" i="22"/>
  <c r="D57" i="22"/>
  <c r="E51" i="22"/>
  <c r="D51" i="22"/>
  <c r="E43" i="22"/>
  <c r="D43" i="22"/>
  <c r="E37" i="22"/>
  <c r="D35" i="22"/>
  <c r="D39" i="22"/>
  <c r="E33" i="22"/>
  <c r="D33" i="22"/>
  <c r="E13" i="22"/>
  <c r="D13" i="22"/>
  <c r="E8" i="22"/>
  <c r="D8" i="22"/>
  <c r="E5" i="22"/>
  <c r="D5" i="22"/>
  <c r="H2" i="21"/>
  <c r="G2" i="21"/>
  <c r="E11" i="12"/>
  <c r="D121" i="21"/>
  <c r="E105" i="21"/>
  <c r="E121" i="21"/>
  <c r="E99" i="21"/>
  <c r="D99" i="21"/>
  <c r="E92" i="21"/>
  <c r="D92" i="21"/>
  <c r="E88" i="21"/>
  <c r="D88" i="21"/>
  <c r="E85" i="21"/>
  <c r="D85" i="21"/>
  <c r="E79" i="21"/>
  <c r="D79" i="21"/>
  <c r="E74" i="21"/>
  <c r="D74" i="21"/>
  <c r="E70" i="21"/>
  <c r="D70" i="21"/>
  <c r="E67" i="21"/>
  <c r="D67" i="21"/>
  <c r="E55" i="21"/>
  <c r="D55" i="21"/>
  <c r="E45" i="21"/>
  <c r="D45" i="21"/>
  <c r="E41" i="21"/>
  <c r="D41" i="21"/>
  <c r="E36" i="21"/>
  <c r="D36" i="21"/>
  <c r="E19" i="21"/>
  <c r="D19" i="21"/>
  <c r="E14" i="21"/>
  <c r="D14" i="21"/>
  <c r="E11" i="21"/>
  <c r="D11" i="21"/>
  <c r="E8" i="21"/>
  <c r="D8" i="21"/>
  <c r="E5" i="21"/>
  <c r="D5" i="21"/>
  <c r="H2" i="20"/>
  <c r="I2" i="20"/>
  <c r="D5" i="20"/>
  <c r="E5" i="20"/>
  <c r="D8" i="20"/>
  <c r="E8" i="20"/>
  <c r="D12" i="20"/>
  <c r="E12" i="20"/>
  <c r="D16" i="20"/>
  <c r="E16" i="20"/>
  <c r="D20" i="20"/>
  <c r="E20" i="20"/>
  <c r="D43" i="20"/>
  <c r="E43" i="20"/>
  <c r="D46" i="20"/>
  <c r="D47" i="20"/>
  <c r="E46" i="20"/>
  <c r="G2" i="20"/>
  <c r="D50" i="20"/>
  <c r="D52" i="20"/>
  <c r="E50" i="20"/>
  <c r="E52" i="20"/>
  <c r="D60" i="20"/>
  <c r="E60" i="20"/>
  <c r="D69" i="20"/>
  <c r="E69" i="20"/>
  <c r="D72" i="20"/>
  <c r="E72" i="20"/>
  <c r="D75" i="20"/>
  <c r="E75" i="20"/>
  <c r="D79" i="20"/>
  <c r="E79" i="20"/>
  <c r="D82" i="20"/>
  <c r="E82" i="20"/>
  <c r="D86" i="20"/>
  <c r="E86" i="20"/>
  <c r="E88" i="20"/>
  <c r="H2" i="19"/>
  <c r="I2" i="19"/>
  <c r="D5" i="19"/>
  <c r="E5" i="19"/>
  <c r="D8" i="19"/>
  <c r="E8" i="19"/>
  <c r="D12" i="19"/>
  <c r="E12" i="19"/>
  <c r="D15" i="19"/>
  <c r="E15" i="19"/>
  <c r="D19" i="19"/>
  <c r="E19" i="19"/>
  <c r="D39" i="19"/>
  <c r="E39" i="19"/>
  <c r="E42" i="19"/>
  <c r="E43" i="19"/>
  <c r="D43" i="19"/>
  <c r="D47" i="19"/>
  <c r="E47" i="19"/>
  <c r="D53" i="19"/>
  <c r="E53" i="19"/>
  <c r="D62" i="19"/>
  <c r="E62" i="19"/>
  <c r="D65" i="19"/>
  <c r="D97" i="19"/>
  <c r="E65" i="19"/>
  <c r="D69" i="19"/>
  <c r="E69" i="19"/>
  <c r="E72" i="19"/>
  <c r="E74" i="19"/>
  <c r="D74" i="19"/>
  <c r="D77" i="19"/>
  <c r="E77" i="19"/>
  <c r="D80" i="19"/>
  <c r="E80" i="19"/>
  <c r="D84" i="19"/>
  <c r="E84" i="19"/>
  <c r="D87" i="19"/>
  <c r="E87" i="19"/>
  <c r="D91" i="19"/>
  <c r="E91" i="19"/>
  <c r="D95" i="19"/>
  <c r="E95" i="19"/>
  <c r="H2" i="18"/>
  <c r="J2" i="18"/>
  <c r="D5" i="18"/>
  <c r="E5" i="18"/>
  <c r="D8" i="18"/>
  <c r="E8" i="18"/>
  <c r="D12" i="18"/>
  <c r="E12" i="18"/>
  <c r="D16" i="18"/>
  <c r="E16" i="18"/>
  <c r="D20" i="18"/>
  <c r="E20" i="18"/>
  <c r="E27" i="18"/>
  <c r="E33" i="18"/>
  <c r="E45" i="18"/>
  <c r="E39" i="18"/>
  <c r="D45" i="18"/>
  <c r="D50" i="18"/>
  <c r="E50" i="18"/>
  <c r="D54" i="18"/>
  <c r="E54" i="18"/>
  <c r="E56" i="18"/>
  <c r="E57" i="18"/>
  <c r="D57" i="18"/>
  <c r="D63" i="18"/>
  <c r="E63" i="18"/>
  <c r="D70" i="18"/>
  <c r="E70" i="18"/>
  <c r="D73" i="18"/>
  <c r="E73" i="18"/>
  <c r="D76" i="18"/>
  <c r="E76" i="18"/>
  <c r="D81" i="18"/>
  <c r="E81" i="18"/>
  <c r="D84" i="18"/>
  <c r="E84" i="18"/>
  <c r="D93" i="18"/>
  <c r="E93" i="18"/>
  <c r="D96" i="18"/>
  <c r="E96" i="18"/>
  <c r="D100" i="18"/>
  <c r="E100" i="18"/>
  <c r="E115" i="18"/>
  <c r="D103" i="18"/>
  <c r="E103" i="18"/>
  <c r="E108" i="18"/>
  <c r="E109" i="18"/>
  <c r="I2" i="18"/>
  <c r="D109" i="18"/>
  <c r="D113" i="18"/>
  <c r="E113" i="18"/>
  <c r="G2" i="17"/>
  <c r="H2" i="17"/>
  <c r="I2" i="17"/>
  <c r="D6" i="17"/>
  <c r="E6" i="17"/>
  <c r="D10" i="17"/>
  <c r="E10" i="17"/>
  <c r="D14" i="17"/>
  <c r="E14" i="17"/>
  <c r="D18" i="17"/>
  <c r="E18" i="17"/>
  <c r="D36" i="17"/>
  <c r="E36" i="17"/>
  <c r="D39" i="17"/>
  <c r="E39" i="17"/>
  <c r="D48" i="17"/>
  <c r="E48" i="17"/>
  <c r="D54" i="17"/>
  <c r="E54" i="17"/>
  <c r="D60" i="17"/>
  <c r="E60" i="17"/>
  <c r="D63" i="17"/>
  <c r="E63" i="17"/>
  <c r="D66" i="17"/>
  <c r="E66" i="17"/>
  <c r="D72" i="17"/>
  <c r="E72" i="17"/>
  <c r="D78" i="17"/>
  <c r="E78" i="17"/>
  <c r="D82" i="17"/>
  <c r="E82" i="17"/>
  <c r="D85" i="17"/>
  <c r="D96" i="17"/>
  <c r="E85" i="17"/>
  <c r="D94" i="17"/>
  <c r="E94" i="17"/>
  <c r="E96" i="17"/>
  <c r="H2" i="16"/>
  <c r="I2" i="16"/>
  <c r="D6" i="16"/>
  <c r="E6" i="16"/>
  <c r="D13" i="16"/>
  <c r="E13" i="16"/>
  <c r="D16" i="16"/>
  <c r="E16" i="16"/>
  <c r="D20" i="16"/>
  <c r="E20" i="16"/>
  <c r="D22" i="16"/>
  <c r="E22" i="16"/>
  <c r="G2" i="16"/>
  <c r="D23" i="16"/>
  <c r="D24" i="16"/>
  <c r="E23" i="16"/>
  <c r="E24" i="16"/>
  <c r="D27" i="16"/>
  <c r="E27" i="16"/>
  <c r="D32" i="16"/>
  <c r="E32" i="16"/>
  <c r="D35" i="16"/>
  <c r="E35" i="16"/>
  <c r="E37" i="16"/>
  <c r="D38" i="16"/>
  <c r="E38" i="16"/>
  <c r="E40" i="16"/>
  <c r="E43" i="16"/>
  <c r="D43" i="16"/>
  <c r="D49" i="16"/>
  <c r="E49" i="16"/>
  <c r="D53" i="16"/>
  <c r="E53" i="16"/>
  <c r="D56" i="16"/>
  <c r="E56" i="16"/>
  <c r="D60" i="16"/>
  <c r="E60" i="16"/>
  <c r="E62" i="16"/>
  <c r="D7" i="15"/>
  <c r="E7" i="15"/>
  <c r="D14" i="15"/>
  <c r="E14" i="15"/>
  <c r="D18" i="15"/>
  <c r="E18" i="15"/>
  <c r="D24" i="15"/>
  <c r="D29" i="15"/>
  <c r="E24" i="15"/>
  <c r="G2" i="15"/>
  <c r="E29" i="15"/>
  <c r="D33" i="15"/>
  <c r="E33" i="15"/>
  <c r="D36" i="15"/>
  <c r="E36" i="15"/>
  <c r="D39" i="15"/>
  <c r="E39" i="15"/>
  <c r="D43" i="15"/>
  <c r="E43" i="15"/>
  <c r="D46" i="15"/>
  <c r="E46" i="15"/>
  <c r="D49" i="15"/>
  <c r="E49" i="15"/>
  <c r="D58" i="15"/>
  <c r="E58" i="15"/>
  <c r="D64" i="15"/>
  <c r="E64" i="15"/>
  <c r="D68" i="15"/>
  <c r="E68" i="15"/>
  <c r="D71" i="15"/>
  <c r="D74" i="15"/>
  <c r="E71" i="15"/>
  <c r="E74" i="15"/>
  <c r="G2" i="13"/>
  <c r="D8" i="13"/>
  <c r="E8" i="13"/>
  <c r="D18" i="13"/>
  <c r="E18" i="13"/>
  <c r="D23" i="13"/>
  <c r="E23" i="13"/>
  <c r="D39" i="13"/>
  <c r="E39" i="13"/>
  <c r="D43" i="13"/>
  <c r="E43" i="13"/>
  <c r="D50" i="13"/>
  <c r="E50" i="13"/>
  <c r="D53" i="13"/>
  <c r="E53" i="13"/>
  <c r="D59" i="13"/>
  <c r="E59" i="13"/>
  <c r="D63" i="13"/>
  <c r="E63" i="13"/>
  <c r="D66" i="13"/>
  <c r="E66" i="13"/>
  <c r="D73" i="13"/>
  <c r="E73" i="13"/>
  <c r="D76" i="13"/>
  <c r="E76" i="13"/>
  <c r="D79" i="13"/>
  <c r="E79" i="13"/>
  <c r="D82" i="13"/>
  <c r="E82" i="13"/>
  <c r="D93" i="13"/>
  <c r="E93" i="13"/>
  <c r="G2" i="11"/>
  <c r="H2" i="11"/>
  <c r="I2" i="11"/>
  <c r="J2" i="11"/>
  <c r="D7" i="11"/>
  <c r="E7" i="11"/>
  <c r="D15" i="11"/>
  <c r="E15" i="11"/>
  <c r="D23" i="11"/>
  <c r="E23" i="11"/>
  <c r="D28" i="11"/>
  <c r="E28" i="11"/>
  <c r="D33" i="11"/>
  <c r="E33" i="11"/>
  <c r="D36" i="11"/>
  <c r="E36" i="11"/>
  <c r="D43" i="11"/>
  <c r="E43" i="11"/>
  <c r="D47" i="11"/>
  <c r="E47" i="11"/>
  <c r="D50" i="11"/>
  <c r="E50" i="11"/>
  <c r="D53" i="11"/>
  <c r="E53" i="11"/>
  <c r="D59" i="11"/>
  <c r="E59" i="11"/>
  <c r="D63" i="11"/>
  <c r="E63" i="11"/>
  <c r="D66" i="11"/>
  <c r="E66" i="11"/>
  <c r="D71" i="11"/>
  <c r="H2" i="10"/>
  <c r="I2" i="10"/>
  <c r="J2" i="10"/>
  <c r="K2" i="10"/>
  <c r="D8" i="10"/>
  <c r="E8" i="10"/>
  <c r="D16" i="10"/>
  <c r="D113" i="10"/>
  <c r="E16" i="10"/>
  <c r="D23" i="10"/>
  <c r="E23" i="10"/>
  <c r="D26" i="10"/>
  <c r="D35" i="10"/>
  <c r="E26" i="10"/>
  <c r="D27" i="10"/>
  <c r="E27" i="10"/>
  <c r="G2" i="10"/>
  <c r="D40" i="10"/>
  <c r="E40" i="10"/>
  <c r="E46" i="10"/>
  <c r="E47" i="10"/>
  <c r="D47" i="10"/>
  <c r="D50" i="10"/>
  <c r="E50" i="10"/>
  <c r="D53" i="10"/>
  <c r="E53" i="10"/>
  <c r="D59" i="10"/>
  <c r="E59" i="10"/>
  <c r="D63" i="10"/>
  <c r="E63" i="10"/>
  <c r="D67" i="10"/>
  <c r="E67" i="10"/>
  <c r="D72" i="10"/>
  <c r="E72" i="10"/>
  <c r="D78" i="10"/>
  <c r="E78" i="10"/>
  <c r="D84" i="10"/>
  <c r="E84" i="10"/>
  <c r="D87" i="10"/>
  <c r="E87" i="10"/>
  <c r="D91" i="10"/>
  <c r="E91" i="10"/>
  <c r="D94" i="10"/>
  <c r="E94" i="10"/>
  <c r="D101" i="10"/>
  <c r="E101" i="10"/>
  <c r="D104" i="10"/>
  <c r="E104" i="10"/>
  <c r="D108" i="10"/>
  <c r="E108" i="10"/>
  <c r="D111" i="10"/>
  <c r="E111" i="10"/>
  <c r="E2" i="12"/>
  <c r="E3" i="12"/>
  <c r="E4" i="12"/>
  <c r="E5" i="12"/>
  <c r="E6" i="12"/>
  <c r="E7" i="12"/>
  <c r="E8" i="12"/>
  <c r="E9" i="12"/>
  <c r="E10" i="12"/>
  <c r="C14" i="12"/>
  <c r="D14" i="12"/>
  <c r="D7" i="8"/>
  <c r="E7" i="8"/>
  <c r="D13" i="8"/>
  <c r="E13" i="8"/>
  <c r="D16" i="8"/>
  <c r="E16" i="8"/>
  <c r="D24" i="8"/>
  <c r="E24" i="8"/>
  <c r="D27" i="8"/>
  <c r="E27" i="8"/>
  <c r="D30" i="8"/>
  <c r="E30" i="8"/>
  <c r="D36" i="8"/>
  <c r="E36" i="8"/>
  <c r="D39" i="8"/>
  <c r="E39" i="8"/>
  <c r="D45" i="8"/>
  <c r="E45" i="8"/>
  <c r="D48" i="8"/>
  <c r="E48" i="8"/>
  <c r="D51" i="8"/>
  <c r="E51" i="8"/>
  <c r="D54" i="8"/>
  <c r="E54" i="8"/>
  <c r="D58" i="8"/>
  <c r="E58" i="8"/>
  <c r="D61" i="8"/>
  <c r="E61" i="8"/>
  <c r="D67" i="8"/>
  <c r="E67" i="8"/>
  <c r="E75" i="8"/>
  <c r="D7" i="7"/>
  <c r="E7" i="7"/>
  <c r="D14" i="7"/>
  <c r="E14" i="7"/>
  <c r="E16" i="7"/>
  <c r="D19" i="7"/>
  <c r="E19" i="7"/>
  <c r="D23" i="7"/>
  <c r="E23" i="7"/>
  <c r="D43" i="7"/>
  <c r="E43" i="7"/>
  <c r="D46" i="7"/>
  <c r="D47" i="7"/>
  <c r="E46" i="7"/>
  <c r="E47" i="7"/>
  <c r="D52" i="7"/>
  <c r="D130" i="7"/>
  <c r="E52" i="7"/>
  <c r="D57" i="7"/>
  <c r="E57" i="7"/>
  <c r="D64" i="7"/>
  <c r="E64" i="7"/>
  <c r="D67" i="7"/>
  <c r="E67" i="7"/>
  <c r="D70" i="7"/>
  <c r="E70" i="7"/>
  <c r="D76" i="7"/>
  <c r="E76" i="7"/>
  <c r="D80" i="7"/>
  <c r="E80" i="7"/>
  <c r="D86" i="7"/>
  <c r="E86" i="7"/>
  <c r="D89" i="7"/>
  <c r="D92" i="7"/>
  <c r="E89" i="7"/>
  <c r="D90" i="7"/>
  <c r="E90" i="7"/>
  <c r="E92" i="7"/>
  <c r="D91" i="7"/>
  <c r="E91" i="7"/>
  <c r="D95" i="7"/>
  <c r="E95" i="7"/>
  <c r="D98" i="7"/>
  <c r="E98" i="7"/>
  <c r="D101" i="7"/>
  <c r="E101" i="7"/>
  <c r="D105" i="7"/>
  <c r="E105" i="7"/>
  <c r="D108" i="7"/>
  <c r="E108" i="7"/>
  <c r="D110" i="7"/>
  <c r="E110" i="7"/>
  <c r="D114" i="7"/>
  <c r="E114" i="7"/>
  <c r="D117" i="7"/>
  <c r="E117" i="7"/>
  <c r="D127" i="7"/>
  <c r="E127" i="7"/>
  <c r="D8" i="6"/>
  <c r="E8" i="6"/>
  <c r="D15" i="6"/>
  <c r="E15" i="6"/>
  <c r="D19" i="6"/>
  <c r="E19" i="6"/>
  <c r="D22" i="6"/>
  <c r="D23" i="6"/>
  <c r="E22" i="6"/>
  <c r="E23" i="6"/>
  <c r="D28" i="6"/>
  <c r="E28" i="6"/>
  <c r="D52" i="6"/>
  <c r="E52" i="6"/>
  <c r="D56" i="6"/>
  <c r="E56" i="6"/>
  <c r="D61" i="6"/>
  <c r="E61" i="6"/>
  <c r="D64" i="6"/>
  <c r="E64" i="6"/>
  <c r="D68" i="6"/>
  <c r="E68" i="6"/>
  <c r="D71" i="6"/>
  <c r="E71" i="6"/>
  <c r="D74" i="6"/>
  <c r="E74" i="6"/>
  <c r="D80" i="6"/>
  <c r="E80" i="6"/>
  <c r="D84" i="6"/>
  <c r="E84" i="6"/>
  <c r="D90" i="6"/>
  <c r="E90" i="6"/>
  <c r="D95" i="6"/>
  <c r="D98" i="6"/>
  <c r="E95" i="6"/>
  <c r="E98" i="6"/>
  <c r="D101" i="6"/>
  <c r="E101" i="6"/>
  <c r="D104" i="6"/>
  <c r="E104" i="6"/>
  <c r="D110" i="6"/>
  <c r="E110" i="6"/>
  <c r="D113" i="6"/>
  <c r="E113" i="6"/>
  <c r="D117" i="6"/>
  <c r="E117" i="6"/>
  <c r="D120" i="6"/>
  <c r="E120" i="6"/>
  <c r="D126" i="6"/>
  <c r="E126" i="6"/>
  <c r="E161" i="6"/>
  <c r="D130" i="6"/>
  <c r="E130" i="6"/>
  <c r="D158" i="6"/>
  <c r="E158" i="6"/>
  <c r="D8" i="5"/>
  <c r="E8" i="5"/>
  <c r="D14" i="5"/>
  <c r="E14" i="5"/>
  <c r="D18" i="5"/>
  <c r="E18" i="5"/>
  <c r="D23" i="5"/>
  <c r="E23" i="5"/>
  <c r="D28" i="5"/>
  <c r="E28" i="5"/>
  <c r="D48" i="5"/>
  <c r="E48" i="5"/>
  <c r="D51" i="5"/>
  <c r="E51" i="5"/>
  <c r="D56" i="5"/>
  <c r="E56" i="5"/>
  <c r="D65" i="5"/>
  <c r="E65" i="5"/>
  <c r="D74" i="5"/>
  <c r="E74" i="5"/>
  <c r="D78" i="5"/>
  <c r="E78" i="5"/>
  <c r="D81" i="5"/>
  <c r="E81" i="5"/>
  <c r="D85" i="5"/>
  <c r="D88" i="5"/>
  <c r="E85" i="5"/>
  <c r="E88" i="5"/>
  <c r="D91" i="5"/>
  <c r="E91" i="5"/>
  <c r="D94" i="5"/>
  <c r="E94" i="5"/>
  <c r="D100" i="5"/>
  <c r="E100" i="5"/>
  <c r="D103" i="5"/>
  <c r="E103" i="5"/>
  <c r="D106" i="5"/>
  <c r="E106" i="5"/>
  <c r="D109" i="5"/>
  <c r="E109" i="5"/>
  <c r="D112" i="5"/>
  <c r="E112" i="5"/>
  <c r="D115" i="5"/>
  <c r="E115" i="5"/>
  <c r="D127" i="5"/>
  <c r="E127" i="5"/>
  <c r="E130" i="5"/>
  <c r="D7" i="4"/>
  <c r="E7" i="4"/>
  <c r="D14" i="4"/>
  <c r="E14" i="4"/>
  <c r="D18" i="4"/>
  <c r="E18" i="4"/>
  <c r="D22" i="4"/>
  <c r="E22" i="4"/>
  <c r="D27" i="4"/>
  <c r="E27" i="4"/>
  <c r="D48" i="4"/>
  <c r="E48" i="4"/>
  <c r="D53" i="4"/>
  <c r="E53" i="4"/>
  <c r="D58" i="4"/>
  <c r="E58" i="4"/>
  <c r="D67" i="4"/>
  <c r="E67" i="4"/>
  <c r="D76" i="4"/>
  <c r="E76" i="4"/>
  <c r="D80" i="4"/>
  <c r="E80" i="4"/>
  <c r="D83" i="4"/>
  <c r="E83" i="4"/>
  <c r="D89" i="4"/>
  <c r="E89" i="4"/>
  <c r="D95" i="4"/>
  <c r="E95" i="4"/>
  <c r="D98" i="4"/>
  <c r="E98" i="4"/>
  <c r="D104" i="4"/>
  <c r="E104" i="4"/>
  <c r="D107" i="4"/>
  <c r="E107" i="4"/>
  <c r="D111" i="4"/>
  <c r="E111" i="4"/>
  <c r="D114" i="4"/>
  <c r="E114" i="4"/>
  <c r="D120" i="4"/>
  <c r="E120" i="4"/>
  <c r="D122" i="4"/>
  <c r="E122" i="4"/>
  <c r="D124" i="4"/>
  <c r="E124" i="4"/>
  <c r="E125" i="4"/>
  <c r="D125" i="4"/>
  <c r="D129" i="4"/>
  <c r="E129" i="4"/>
  <c r="D144" i="4"/>
  <c r="D150" i="4"/>
  <c r="E144" i="4"/>
  <c r="E150" i="4"/>
  <c r="D153" i="4"/>
  <c r="E153" i="4"/>
  <c r="E156" i="4"/>
  <c r="D7" i="3"/>
  <c r="E7" i="3"/>
  <c r="D11" i="3"/>
  <c r="E11" i="3"/>
  <c r="D15" i="3"/>
  <c r="E15" i="3"/>
  <c r="D19" i="3"/>
  <c r="E19" i="3"/>
  <c r="D24" i="3"/>
  <c r="E24" i="3"/>
  <c r="E32" i="3"/>
  <c r="D46" i="3"/>
  <c r="E46" i="3"/>
  <c r="D50" i="3"/>
  <c r="E50" i="3"/>
  <c r="D55" i="3"/>
  <c r="E55" i="3"/>
  <c r="D61" i="3"/>
  <c r="E61" i="3"/>
  <c r="D68" i="3"/>
  <c r="E68" i="3"/>
  <c r="D72" i="3"/>
  <c r="E72" i="3"/>
  <c r="D75" i="3"/>
  <c r="E75" i="3"/>
  <c r="D82" i="3"/>
  <c r="E82" i="3"/>
  <c r="D85" i="3"/>
  <c r="E85" i="3"/>
  <c r="D88" i="3"/>
  <c r="E88" i="3"/>
  <c r="D95" i="3"/>
  <c r="E95" i="3"/>
  <c r="D98" i="3"/>
  <c r="E98" i="3"/>
  <c r="D102" i="3"/>
  <c r="E102" i="3"/>
  <c r="D105" i="3"/>
  <c r="E105" i="3"/>
  <c r="D108" i="3"/>
  <c r="E108" i="3"/>
  <c r="D112" i="3"/>
  <c r="E112" i="3"/>
  <c r="D113" i="3"/>
  <c r="E113" i="3"/>
  <c r="D116" i="3"/>
  <c r="E116" i="3"/>
  <c r="D120" i="3"/>
  <c r="E120" i="3"/>
  <c r="D129" i="3"/>
  <c r="E129" i="3"/>
  <c r="D141" i="3"/>
  <c r="D147" i="3"/>
  <c r="E141" i="3"/>
  <c r="D144" i="3"/>
  <c r="E144" i="3"/>
  <c r="E147" i="3"/>
  <c r="D7" i="1"/>
  <c r="E7" i="1"/>
  <c r="D10" i="1"/>
  <c r="E10" i="1"/>
  <c r="D14" i="1"/>
  <c r="E14" i="1"/>
  <c r="D17" i="1"/>
  <c r="E17" i="1"/>
  <c r="D22" i="1"/>
  <c r="E22" i="1"/>
  <c r="D45" i="1"/>
  <c r="E45" i="1"/>
  <c r="D50" i="1"/>
  <c r="E50" i="1"/>
  <c r="D55" i="1"/>
  <c r="E55" i="1"/>
  <c r="D63" i="1"/>
  <c r="E63" i="1"/>
  <c r="D69" i="1"/>
  <c r="E69" i="1"/>
  <c r="D73" i="1"/>
  <c r="E73" i="1"/>
  <c r="D76" i="1"/>
  <c r="E76" i="1"/>
  <c r="D81" i="1"/>
  <c r="E81" i="1"/>
  <c r="D82" i="1"/>
  <c r="E82" i="1"/>
  <c r="D85" i="1"/>
  <c r="E85" i="1"/>
  <c r="D88" i="1"/>
  <c r="E88" i="1"/>
  <c r="D92" i="1"/>
  <c r="E92" i="1"/>
  <c r="D95" i="1"/>
  <c r="E95" i="1"/>
  <c r="D99" i="1"/>
  <c r="E99" i="1"/>
  <c r="D102" i="1"/>
  <c r="E102" i="1"/>
  <c r="D105" i="1"/>
  <c r="E105" i="1"/>
  <c r="D107" i="1"/>
  <c r="D110" i="1"/>
  <c r="E107" i="1"/>
  <c r="E110" i="1"/>
  <c r="D117" i="1"/>
  <c r="E117" i="1"/>
  <c r="E119" i="1"/>
  <c r="E121" i="1"/>
  <c r="E122" i="1"/>
  <c r="E138" i="1"/>
  <c r="E123" i="1"/>
  <c r="D124" i="1"/>
  <c r="E124" i="1"/>
  <c r="D127" i="1"/>
  <c r="D138" i="1"/>
  <c r="E127" i="1"/>
  <c r="D128" i="1"/>
  <c r="E128" i="1"/>
  <c r="D129" i="1"/>
  <c r="E129" i="1"/>
  <c r="D130" i="1"/>
  <c r="E130" i="1"/>
  <c r="D132" i="1"/>
  <c r="E132" i="1"/>
  <c r="D134" i="1"/>
  <c r="E134" i="1"/>
  <c r="D135" i="1"/>
  <c r="E135" i="1"/>
  <c r="D136" i="1"/>
  <c r="E136" i="1"/>
  <c r="D137" i="1"/>
  <c r="E137" i="1"/>
  <c r="D141" i="1"/>
  <c r="E141" i="1"/>
  <c r="D144" i="1"/>
  <c r="E144" i="1"/>
  <c r="D147" i="1"/>
  <c r="E147" i="1"/>
  <c r="D7" i="2"/>
  <c r="E7" i="2"/>
  <c r="D18" i="2"/>
  <c r="E18" i="2"/>
  <c r="D21" i="2"/>
  <c r="D41" i="2"/>
  <c r="D147" i="2"/>
  <c r="E23" i="2"/>
  <c r="E41" i="2"/>
  <c r="E35" i="2"/>
  <c r="E44" i="2"/>
  <c r="E45" i="2"/>
  <c r="D45" i="2"/>
  <c r="D49" i="2"/>
  <c r="E49" i="2"/>
  <c r="D60" i="2"/>
  <c r="E60" i="2"/>
  <c r="D68" i="2"/>
  <c r="E68" i="2"/>
  <c r="D72" i="2"/>
  <c r="E72" i="2"/>
  <c r="E76" i="2"/>
  <c r="D77" i="2"/>
  <c r="D78" i="2"/>
  <c r="E77" i="2"/>
  <c r="E78" i="2"/>
  <c r="D93" i="2"/>
  <c r="E93" i="2"/>
  <c r="D100" i="2"/>
  <c r="E100" i="2"/>
  <c r="D104" i="2"/>
  <c r="E104" i="2"/>
  <c r="D114" i="2"/>
  <c r="E114" i="2"/>
  <c r="E119" i="2"/>
  <c r="E121" i="2"/>
  <c r="D121" i="2"/>
  <c r="E125" i="2"/>
  <c r="E127" i="2"/>
  <c r="D128" i="2"/>
  <c r="E128" i="2"/>
  <c r="D130" i="2"/>
  <c r="D141" i="2"/>
  <c r="E130" i="2"/>
  <c r="D133" i="2"/>
  <c r="E133" i="2"/>
  <c r="E134" i="2"/>
  <c r="E137" i="2"/>
  <c r="E138" i="2"/>
  <c r="D139" i="2"/>
  <c r="E139" i="2"/>
  <c r="E141" i="2"/>
  <c r="D140" i="2"/>
  <c r="E140" i="2"/>
  <c r="D143" i="2"/>
  <c r="E143" i="2"/>
  <c r="G2" i="14"/>
  <c r="H2" i="14"/>
  <c r="G3" i="14"/>
  <c r="H3" i="14"/>
  <c r="G4" i="14"/>
  <c r="H4" i="14"/>
  <c r="G5" i="14"/>
  <c r="H5" i="14"/>
  <c r="G6" i="14"/>
  <c r="H6" i="14"/>
  <c r="G7" i="14"/>
  <c r="H7" i="14"/>
  <c r="G8" i="14"/>
  <c r="H8" i="14"/>
  <c r="G9" i="14"/>
  <c r="H9" i="14"/>
  <c r="G10" i="14"/>
  <c r="H10" i="14"/>
  <c r="G11" i="14"/>
  <c r="H11" i="14"/>
  <c r="G12" i="14"/>
  <c r="H12" i="14"/>
  <c r="G13" i="14"/>
  <c r="H13" i="14"/>
  <c r="G14" i="14"/>
  <c r="H14" i="14"/>
  <c r="G15" i="14"/>
  <c r="H15" i="14"/>
  <c r="G16" i="14"/>
  <c r="H16" i="14"/>
  <c r="G17" i="14"/>
  <c r="H17" i="14"/>
  <c r="G18" i="14"/>
  <c r="H18" i="14"/>
  <c r="G19" i="14"/>
  <c r="H19" i="14"/>
  <c r="G20" i="14"/>
  <c r="H20" i="14"/>
  <c r="G21" i="14"/>
  <c r="H21" i="14"/>
  <c r="G22" i="14"/>
  <c r="H22" i="14"/>
  <c r="G23" i="14"/>
  <c r="H23" i="14"/>
  <c r="G24" i="14"/>
  <c r="H24" i="14"/>
  <c r="G25" i="14"/>
  <c r="H25" i="14"/>
  <c r="G26" i="14"/>
  <c r="H26" i="14"/>
  <c r="G27" i="14"/>
  <c r="H27" i="14"/>
  <c r="G28" i="14"/>
  <c r="H28" i="14"/>
  <c r="G29" i="14"/>
  <c r="H29" i="14"/>
  <c r="G30" i="14"/>
  <c r="H30" i="14"/>
  <c r="G31" i="14"/>
  <c r="H31" i="14"/>
  <c r="G32" i="14"/>
  <c r="H32" i="14"/>
  <c r="G33" i="14"/>
  <c r="H33" i="14"/>
  <c r="G34" i="14"/>
  <c r="H34" i="14"/>
  <c r="G35" i="14"/>
  <c r="H35" i="14"/>
  <c r="G36" i="14"/>
  <c r="H36" i="14"/>
  <c r="G37" i="14"/>
  <c r="H37" i="14"/>
  <c r="G38" i="14"/>
  <c r="H38" i="14"/>
  <c r="G39" i="14"/>
  <c r="H39" i="14"/>
  <c r="G40" i="14"/>
  <c r="H40" i="14"/>
  <c r="G41" i="14"/>
  <c r="H41" i="14"/>
  <c r="G42" i="14"/>
  <c r="H42" i="14"/>
  <c r="G43" i="14"/>
  <c r="H43" i="14"/>
  <c r="G44" i="14"/>
  <c r="H44" i="14"/>
  <c r="G45" i="14"/>
  <c r="H45" i="14"/>
  <c r="G46" i="14"/>
  <c r="H46" i="14"/>
  <c r="G47" i="14"/>
  <c r="H47" i="14"/>
  <c r="G48" i="14"/>
  <c r="H48" i="14"/>
  <c r="G49" i="14"/>
  <c r="H49" i="14"/>
  <c r="G50" i="14"/>
  <c r="H50" i="14"/>
  <c r="G51" i="14"/>
  <c r="H51" i="14"/>
  <c r="G52" i="14"/>
  <c r="H52" i="14"/>
  <c r="G53" i="14"/>
  <c r="H53" i="14"/>
  <c r="G54" i="14"/>
  <c r="H54" i="14"/>
  <c r="G55" i="14"/>
  <c r="H55" i="14"/>
  <c r="G56" i="14"/>
  <c r="H56" i="14"/>
  <c r="G57" i="14"/>
  <c r="H57" i="14"/>
  <c r="G58" i="14"/>
  <c r="H58" i="14"/>
  <c r="G59" i="14"/>
  <c r="H59" i="14"/>
  <c r="G60" i="14"/>
  <c r="H60" i="14"/>
  <c r="G61" i="14"/>
  <c r="H61" i="14"/>
  <c r="G62" i="14"/>
  <c r="H62" i="14"/>
  <c r="G63" i="14"/>
  <c r="H63" i="14"/>
  <c r="G64" i="14"/>
  <c r="H64" i="14"/>
  <c r="G65" i="14"/>
  <c r="H65" i="14"/>
  <c r="G66" i="14"/>
  <c r="H66" i="14"/>
  <c r="G67" i="14"/>
  <c r="H67" i="14"/>
  <c r="G68" i="14"/>
  <c r="H68" i="14"/>
  <c r="G69" i="14"/>
  <c r="H69" i="14"/>
  <c r="G70" i="14"/>
  <c r="H70" i="14"/>
  <c r="G71" i="14"/>
  <c r="H71" i="14"/>
  <c r="G72" i="14"/>
  <c r="H72" i="14"/>
  <c r="G73" i="14"/>
  <c r="H73" i="14"/>
  <c r="G74" i="14"/>
  <c r="H74" i="14"/>
  <c r="G75" i="14"/>
  <c r="H75" i="14"/>
  <c r="G76" i="14"/>
  <c r="H76" i="14"/>
  <c r="G77" i="14"/>
  <c r="H77" i="14"/>
  <c r="G78" i="14"/>
  <c r="H78" i="14"/>
  <c r="G79" i="14"/>
  <c r="H79" i="14"/>
  <c r="G80" i="14"/>
  <c r="H80" i="14"/>
  <c r="G81" i="14"/>
  <c r="H81" i="14"/>
  <c r="G82" i="14"/>
  <c r="H82" i="14"/>
  <c r="G83" i="14"/>
  <c r="H83" i="14"/>
  <c r="G84" i="14"/>
  <c r="H84" i="14"/>
  <c r="G85" i="14"/>
  <c r="H85" i="14"/>
  <c r="G86" i="14"/>
  <c r="H86" i="14"/>
  <c r="G87" i="14"/>
  <c r="H87" i="14"/>
  <c r="G88" i="14"/>
  <c r="H88" i="14"/>
  <c r="G89" i="14"/>
  <c r="H89" i="14"/>
  <c r="G90" i="14"/>
  <c r="H90" i="14"/>
  <c r="G91" i="14"/>
  <c r="H91" i="14"/>
  <c r="G92" i="14"/>
  <c r="H92" i="14"/>
  <c r="G93" i="14"/>
  <c r="H93" i="14"/>
  <c r="G94" i="14"/>
  <c r="H94" i="14"/>
  <c r="G95" i="14"/>
  <c r="H95" i="14"/>
  <c r="G96" i="14"/>
  <c r="H96" i="14"/>
  <c r="G97" i="14"/>
  <c r="H97" i="14"/>
  <c r="G98" i="14"/>
  <c r="H98" i="14"/>
  <c r="G99" i="14"/>
  <c r="H99" i="14"/>
  <c r="G100" i="14"/>
  <c r="H100" i="14"/>
  <c r="G101" i="14"/>
  <c r="H101" i="14"/>
  <c r="G102" i="14"/>
  <c r="H102" i="14"/>
  <c r="G103" i="14"/>
  <c r="H103" i="14"/>
  <c r="G104" i="14"/>
  <c r="H104" i="14"/>
  <c r="G105" i="14"/>
  <c r="H105" i="14"/>
  <c r="G106" i="14"/>
  <c r="H106" i="14"/>
  <c r="G107" i="14"/>
  <c r="H107" i="14"/>
  <c r="G108" i="14"/>
  <c r="H108" i="14"/>
  <c r="G109" i="14"/>
  <c r="H109" i="14"/>
  <c r="G110" i="14"/>
  <c r="H110" i="14"/>
  <c r="G111" i="14"/>
  <c r="H111" i="14"/>
  <c r="G112" i="14"/>
  <c r="H112" i="14"/>
  <c r="G113" i="14"/>
  <c r="H113" i="14"/>
  <c r="G114" i="14"/>
  <c r="H114" i="14"/>
  <c r="G115" i="14"/>
  <c r="H115" i="14"/>
  <c r="G116" i="14"/>
  <c r="H116" i="14"/>
  <c r="G117" i="14"/>
  <c r="H117" i="14"/>
  <c r="G118" i="14"/>
  <c r="H118" i="14"/>
  <c r="E150" i="1"/>
  <c r="D156" i="4"/>
  <c r="D130" i="5"/>
  <c r="E47" i="20"/>
  <c r="G2" i="19"/>
  <c r="E35" i="10"/>
  <c r="E113" i="10"/>
  <c r="E106" i="31"/>
  <c r="D106" i="32"/>
  <c r="D120" i="34"/>
  <c r="E93" i="25"/>
  <c r="D150" i="1"/>
  <c r="E130" i="7"/>
  <c r="D88" i="20"/>
  <c r="D161" i="6"/>
  <c r="G2" i="30"/>
  <c r="E39" i="30"/>
  <c r="E114" i="30"/>
  <c r="E98" i="35"/>
  <c r="J2" i="35"/>
  <c r="E147" i="2"/>
  <c r="E14" i="12"/>
  <c r="E71" i="11"/>
  <c r="E39" i="22"/>
  <c r="G2" i="22"/>
  <c r="D62" i="16"/>
  <c r="D115" i="18"/>
  <c r="G2" i="18"/>
  <c r="E97" i="19"/>
  <c r="E97" i="29"/>
  <c r="H119" i="14"/>
  <c r="I119" i="14"/>
  <c r="D93" i="25"/>
  <c r="H2" i="26"/>
  <c r="E67" i="26"/>
  <c r="E91" i="26"/>
  <c r="D103" i="35"/>
  <c r="D108" i="36"/>
  <c r="E54" i="34"/>
  <c r="E120" i="34"/>
  <c r="E85" i="35"/>
  <c r="E103" i="35"/>
  <c r="E105" i="42"/>
  <c r="E97" i="45"/>
  <c r="D97" i="45"/>
  <c r="E91" i="46"/>
  <c r="D93" i="58" l="1"/>
  <c r="E93" i="58"/>
  <c r="D102" i="56"/>
  <c r="E102" i="56"/>
  <c r="D80" i="55"/>
  <c r="E80" i="55"/>
  <c r="D82" i="54"/>
  <c r="E82" i="54"/>
</calcChain>
</file>

<file path=xl/sharedStrings.xml><?xml version="1.0" encoding="utf-8"?>
<sst xmlns="http://schemas.openxmlformats.org/spreadsheetml/2006/main" count="12122" uniqueCount="594">
  <si>
    <t>Last Name First Name</t>
  </si>
  <si>
    <t>Regular Hours</t>
  </si>
  <si>
    <t>Overtime Hours</t>
  </si>
  <si>
    <t>Home Department Desc - Check</t>
  </si>
  <si>
    <t>Rate Type Desc</t>
  </si>
  <si>
    <t>Regular Pay Rate Amount</t>
  </si>
  <si>
    <t>Overtime Rate Amount</t>
  </si>
  <si>
    <t>Total</t>
  </si>
  <si>
    <t>Sweet, Shanta</t>
  </si>
  <si>
    <t>C&amp;H - Marketing</t>
  </si>
  <si>
    <t>Hourly</t>
  </si>
  <si>
    <t>Rogero, Melissa</t>
  </si>
  <si>
    <t>Compliance</t>
  </si>
  <si>
    <t>Tremain, Rachel</t>
  </si>
  <si>
    <t>Branning, Haley</t>
  </si>
  <si>
    <t>Corporate - Customer Service</t>
  </si>
  <si>
    <t>Roca, Miranda</t>
  </si>
  <si>
    <t>Meyer, Landon</t>
  </si>
  <si>
    <t>Hotaling, Laurna</t>
  </si>
  <si>
    <t>Kearley, Amber</t>
  </si>
  <si>
    <t>Baker, Zachary</t>
  </si>
  <si>
    <t>Pradella, Lynne V</t>
  </si>
  <si>
    <t>Kelber, Brenton</t>
  </si>
  <si>
    <t>Corporate - Marketing</t>
  </si>
  <si>
    <t>Kent, Rita</t>
  </si>
  <si>
    <t>Corporate - Operations</t>
  </si>
  <si>
    <t>Silva, Lucero</t>
  </si>
  <si>
    <t>Feierstein, Jane</t>
  </si>
  <si>
    <t>Campbell, James</t>
  </si>
  <si>
    <t>Corporate - Product Development</t>
  </si>
  <si>
    <t>Brunetta, Peter</t>
  </si>
  <si>
    <t>Corporate -Supply Chain Management</t>
  </si>
  <si>
    <t>Pena, Dimaris</t>
  </si>
  <si>
    <t>Grant, Tameka</t>
  </si>
  <si>
    <t>Direct Labor - COP</t>
  </si>
  <si>
    <t>Ortiz Rodriguez, Nilsa</t>
  </si>
  <si>
    <t>Candelaria, Maritza</t>
  </si>
  <si>
    <t>Hopkins, Hattie</t>
  </si>
  <si>
    <t>Ubri, Alfredo</t>
  </si>
  <si>
    <t>Smith, Peggy</t>
  </si>
  <si>
    <t>Jax Whse - FL - Direct labor</t>
  </si>
  <si>
    <t>Smith, Randy</t>
  </si>
  <si>
    <t>Mendoza, Alfredo</t>
  </si>
  <si>
    <t>Jax Whse - Indirect Labor</t>
  </si>
  <si>
    <t>Sly, Umiko</t>
  </si>
  <si>
    <t>Jax Whse - Inventory Control</t>
  </si>
  <si>
    <t>Rosenwald, Nicole</t>
  </si>
  <si>
    <t>Jay, Terrance</t>
  </si>
  <si>
    <t>Clemons, Tabitha</t>
  </si>
  <si>
    <t>Gerald, Tally</t>
  </si>
  <si>
    <t>Williams, Christopher</t>
  </si>
  <si>
    <t>Jax Whse - Maintenance</t>
  </si>
  <si>
    <t>Hann, John</t>
  </si>
  <si>
    <t>Benton, Neal</t>
  </si>
  <si>
    <t>Jax Whse - Material Handling</t>
  </si>
  <si>
    <t>McDonald, Tyronne</t>
  </si>
  <si>
    <t>Tinsley, Tevin</t>
  </si>
  <si>
    <t>Tapaoan, Richard</t>
  </si>
  <si>
    <t>Proctor III, Herman</t>
  </si>
  <si>
    <t>Lee, Roy</t>
  </si>
  <si>
    <t>Jax Whse - Receiving</t>
  </si>
  <si>
    <t>Jackson, Jasmine</t>
  </si>
  <si>
    <t>Phillips, Michael</t>
  </si>
  <si>
    <t>Prince, Bryan</t>
  </si>
  <si>
    <t>Royal, Charles</t>
  </si>
  <si>
    <t>Pinkney, Virgil</t>
  </si>
  <si>
    <t>Jax Whse - Shipping</t>
  </si>
  <si>
    <t>Thomas, John</t>
  </si>
  <si>
    <t>Council, Bruce</t>
  </si>
  <si>
    <t>Hill, Barrion</t>
  </si>
  <si>
    <t>Hams, Brandon</t>
  </si>
  <si>
    <t>Crosby, Joseph</t>
  </si>
  <si>
    <t>McCray, Devin</t>
  </si>
  <si>
    <t>Del Rosario, Daniel</t>
  </si>
  <si>
    <t>Gordon, Renee</t>
  </si>
  <si>
    <t>Faison, Daequan</t>
  </si>
  <si>
    <t>Schumacher, Robin S</t>
  </si>
  <si>
    <t>Johnson, Lashawnna</t>
  </si>
  <si>
    <t>Tapia, Enyz Ivette</t>
  </si>
  <si>
    <t>Reyes, Danilo</t>
  </si>
  <si>
    <t>Tell, Danarius</t>
  </si>
  <si>
    <t>Echon, Jovin-Conrad</t>
  </si>
  <si>
    <t>Bynam, Kenyale</t>
  </si>
  <si>
    <t>Apple, Colleen M</t>
  </si>
  <si>
    <t>Jackson, Tremayne</t>
  </si>
  <si>
    <t>Morales, Evelyn</t>
  </si>
  <si>
    <t>Ives, Joshua</t>
  </si>
  <si>
    <t>Hagans, Myron E</t>
  </si>
  <si>
    <t>Newberry, Kevin</t>
  </si>
  <si>
    <t>Hicks, Dawn</t>
  </si>
  <si>
    <t>Carter, Latisha</t>
  </si>
  <si>
    <t>Jax Whse - Shipping Admin</t>
  </si>
  <si>
    <t>Frank, Rachel</t>
  </si>
  <si>
    <t>Zeigler, Genee</t>
  </si>
  <si>
    <t>Fontanez, Jose</t>
  </si>
  <si>
    <t>Holtz, Kylen</t>
  </si>
  <si>
    <t>Marketing - ADV II</t>
  </si>
  <si>
    <t>Mickler, Candace M</t>
  </si>
  <si>
    <t>Mercury - Customer Service</t>
  </si>
  <si>
    <t>Declue, Lori Ann</t>
  </si>
  <si>
    <t>Walters, Katelyn</t>
  </si>
  <si>
    <t>Mercury - Marketing</t>
  </si>
  <si>
    <t>Beltran, John</t>
  </si>
  <si>
    <t>Gaither, Anthony</t>
  </si>
  <si>
    <t>Seward - Direct Labor</t>
  </si>
  <si>
    <t>Wilson, Vernette</t>
  </si>
  <si>
    <t>Jones, Rickey</t>
  </si>
  <si>
    <t>Maple, Daisy</t>
  </si>
  <si>
    <t>Bradford, Helen</t>
  </si>
  <si>
    <t>Browder, Hazel</t>
  </si>
  <si>
    <t>McClellan, Jamie</t>
  </si>
  <si>
    <t>Johnson, Thelma</t>
  </si>
  <si>
    <t>Shands, Linwood</t>
  </si>
  <si>
    <t>Jackson, Vickie D</t>
  </si>
  <si>
    <t>Lightfoot, Harrison E</t>
  </si>
  <si>
    <t>Brown, Elsie</t>
  </si>
  <si>
    <t>Shepherd, Becky</t>
  </si>
  <si>
    <t>Gaither, Tyrone</t>
  </si>
  <si>
    <t>Stevens, George</t>
  </si>
  <si>
    <t>Brown, Vanessa</t>
  </si>
  <si>
    <t>Lewis, Stanley</t>
  </si>
  <si>
    <t>Renigar, Dorothy G</t>
  </si>
  <si>
    <t>Hilton, Orlando</t>
  </si>
  <si>
    <t>Cox, Melvin</t>
  </si>
  <si>
    <t>Tucker, Ralph</t>
  </si>
  <si>
    <t>Lewis, Terrell</t>
  </si>
  <si>
    <t>Seward - Indirect Labor</t>
  </si>
  <si>
    <t>Cunningham, Harry</t>
  </si>
  <si>
    <t>Seward - Maintenance</t>
  </si>
  <si>
    <t>Seward - Material Handling</t>
  </si>
  <si>
    <t>Barnes, Steven</t>
  </si>
  <si>
    <t>Seward - Shipping</t>
  </si>
  <si>
    <t>Edmonds, John</t>
  </si>
  <si>
    <t>Jackson, Shana K</t>
  </si>
  <si>
    <t>Seward - Shipping Admin</t>
  </si>
  <si>
    <t>Ramsey, Tamara</t>
  </si>
  <si>
    <t>Willi, Samantha</t>
  </si>
  <si>
    <t>Sulyn - Product Development</t>
  </si>
  <si>
    <t>Ibanez, Emilie</t>
  </si>
  <si>
    <t>Wyla - Admin</t>
  </si>
  <si>
    <t>Mercado Jr, Menileo L</t>
  </si>
  <si>
    <t>Wyla - Direct Labor</t>
  </si>
  <si>
    <t>Brenner, Dina</t>
  </si>
  <si>
    <t>Balanza, Allan A</t>
  </si>
  <si>
    <t>Reyes, Carmelita</t>
  </si>
  <si>
    <t>Rogers, Laura Ashley</t>
  </si>
  <si>
    <t>Wyla Customer Service</t>
  </si>
  <si>
    <t>Payroll Name</t>
  </si>
  <si>
    <t>Home Department Code</t>
  </si>
  <si>
    <t>Home Department Description</t>
  </si>
  <si>
    <t>Overtime Hours Total</t>
  </si>
  <si>
    <t>Overtime Earnings Total</t>
  </si>
  <si>
    <t>001020</t>
  </si>
  <si>
    <t>Garland, Miranda</t>
  </si>
  <si>
    <t>001035</t>
  </si>
  <si>
    <t>001041</t>
  </si>
  <si>
    <t>001044</t>
  </si>
  <si>
    <t>001045</t>
  </si>
  <si>
    <t>Dubose, Iwin</t>
  </si>
  <si>
    <t>Morris, King</t>
  </si>
  <si>
    <t>Rosado, Angel</t>
  </si>
  <si>
    <t>Smith, Demetric</t>
  </si>
  <si>
    <t>001046</t>
  </si>
  <si>
    <t>Sanchez, Jose</t>
  </si>
  <si>
    <t>001047</t>
  </si>
  <si>
    <t>001048</t>
  </si>
  <si>
    <t>Bell, Patrick</t>
  </si>
  <si>
    <t>001049</t>
  </si>
  <si>
    <t>Caldwell, Tomeka</t>
  </si>
  <si>
    <t>Johnson, Roderick</t>
  </si>
  <si>
    <t>001052</t>
  </si>
  <si>
    <t>001060</t>
  </si>
  <si>
    <t>001065</t>
  </si>
  <si>
    <t>Botic, Fadila</t>
  </si>
  <si>
    <t>100051</t>
  </si>
  <si>
    <t>Bugarin, Efren</t>
  </si>
  <si>
    <t>200035</t>
  </si>
  <si>
    <t>250025</t>
  </si>
  <si>
    <t>290020</t>
  </si>
  <si>
    <t>290051</t>
  </si>
  <si>
    <t>350035</t>
  </si>
  <si>
    <t>400020</t>
  </si>
  <si>
    <t>400035</t>
  </si>
  <si>
    <t>Pitts, Rachel</t>
  </si>
  <si>
    <t>Seward - WH Admin</t>
  </si>
  <si>
    <t>450044</t>
  </si>
  <si>
    <t>450045</t>
  </si>
  <si>
    <t>450046</t>
  </si>
  <si>
    <t>450049</t>
  </si>
  <si>
    <t>450051</t>
  </si>
  <si>
    <t>Brennan, Timothy</t>
  </si>
  <si>
    <t>Robinson, Alfredia</t>
  </si>
  <si>
    <t>550052</t>
  </si>
  <si>
    <t>Jax Whse - FL - Indirect Labor</t>
  </si>
  <si>
    <t>Grand Total</t>
  </si>
  <si>
    <t>Lampp, Teresa</t>
  </si>
  <si>
    <t>Corporate - Supply Chain Management</t>
  </si>
  <si>
    <t>Ubri, Vladimir</t>
  </si>
  <si>
    <t>001042</t>
  </si>
  <si>
    <t>Jax Whse - Warehouse Admin</t>
  </si>
  <si>
    <t>Cariaga, Iana</t>
  </si>
  <si>
    <t>Keye, Florence</t>
  </si>
  <si>
    <t>Rios, Delvis</t>
  </si>
  <si>
    <t>Abney, Leroy</t>
  </si>
  <si>
    <t>Frohman, Max</t>
  </si>
  <si>
    <t>Kelley, Mallory</t>
  </si>
  <si>
    <t>Corporate Marketing</t>
  </si>
  <si>
    <t>Thayer, Preston</t>
  </si>
  <si>
    <t>Jax Whse - FL - Direct Labor</t>
  </si>
  <si>
    <t>Droleski, Nicholas</t>
  </si>
  <si>
    <t>Fleming, Georgia</t>
  </si>
  <si>
    <t>Hernandez, Gloria</t>
  </si>
  <si>
    <t>Hernandez, Yuberkis</t>
  </si>
  <si>
    <t>Mejia, Roberto</t>
  </si>
  <si>
    <t>Tobler, Lakeesha</t>
  </si>
  <si>
    <t>Mercado, Menileo</t>
  </si>
  <si>
    <t>Brice, Mcheyla</t>
  </si>
  <si>
    <t>001025</t>
  </si>
  <si>
    <t>Corporate - Product &amp; Sourcing</t>
  </si>
  <si>
    <t>Thomas, Kelly</t>
  </si>
  <si>
    <t>McCullum, Don</t>
  </si>
  <si>
    <t>Wooten, Alisha</t>
  </si>
  <si>
    <t>Rutledge, Sam</t>
  </si>
  <si>
    <t>Thomason, Alaina</t>
  </si>
  <si>
    <t>Hogue, Lillian</t>
  </si>
  <si>
    <t>001070</t>
  </si>
  <si>
    <t>Corporate - Web Services</t>
  </si>
  <si>
    <t>Tyler, Melvin</t>
  </si>
  <si>
    <t>Combs, Frank</t>
  </si>
  <si>
    <t>Kukar, Melissa</t>
  </si>
  <si>
    <t>Goddard, Antione</t>
  </si>
  <si>
    <t>Ward, Arneica</t>
  </si>
  <si>
    <t>Williams, Cynthia</t>
  </si>
  <si>
    <t>Wilson, Kevin</t>
  </si>
  <si>
    <t>Wright, William</t>
  </si>
  <si>
    <t>Carson, Carlos</t>
  </si>
  <si>
    <t>DelRosario, Daniel</t>
  </si>
  <si>
    <t>House, Julius</t>
  </si>
  <si>
    <t>Rosario, Tony</t>
  </si>
  <si>
    <t>Willard, Matthew</t>
  </si>
  <si>
    <t>001055</t>
  </si>
  <si>
    <t>Corporate - IT</t>
  </si>
  <si>
    <t>Hogue,Lillian</t>
  </si>
  <si>
    <t>Web Services</t>
  </si>
  <si>
    <t>DeClue, Lori</t>
  </si>
  <si>
    <t>Jackson, Shana</t>
  </si>
  <si>
    <t>Hamilton, Jamaal</t>
  </si>
  <si>
    <t>Jackson, Vickie</t>
  </si>
  <si>
    <t>Johnson, Cora</t>
  </si>
  <si>
    <t>Dowdell, Lawa</t>
  </si>
  <si>
    <t>Layng, Bridget</t>
  </si>
  <si>
    <t>Parker, Shenequah</t>
  </si>
  <si>
    <t>Miller, Phillip</t>
  </si>
  <si>
    <t>Garvin, Michael</t>
  </si>
  <si>
    <t>Harris, Leron</t>
  </si>
  <si>
    <t>Kotz, Bridget</t>
  </si>
  <si>
    <t>King, Aaron</t>
  </si>
  <si>
    <t>Johnson, Jacob</t>
  </si>
  <si>
    <t>MJ Comments</t>
  </si>
  <si>
    <t>Operations</t>
  </si>
  <si>
    <t>Marketing</t>
  </si>
  <si>
    <t>PBG</t>
  </si>
  <si>
    <t>Accounting</t>
  </si>
  <si>
    <t>Overtime greater than 1 hour per week (4 hours for the month)</t>
  </si>
  <si>
    <t>Jax Whse - WH Admin</t>
  </si>
  <si>
    <t>Wyla Joann's project - only 9 days to do 21 days of work due to a mistake</t>
  </si>
  <si>
    <t>Baker, Lael</t>
  </si>
  <si>
    <t>Hagans, Myron</t>
  </si>
  <si>
    <t>Gonzalez, Angel</t>
  </si>
  <si>
    <t>Trip to PBG</t>
  </si>
  <si>
    <t>Proctor, Herman</t>
  </si>
  <si>
    <t>Dept. is shorthanded - approved by CS</t>
  </si>
  <si>
    <t>Approved by BD</t>
  </si>
  <si>
    <t>Tradeshow - approved by HC</t>
  </si>
  <si>
    <t>Puello, Martin</t>
  </si>
  <si>
    <t>Sulyn Product Development</t>
  </si>
  <si>
    <t>Balanza, Allan</t>
  </si>
  <si>
    <t>Wyla Direct Labor</t>
  </si>
  <si>
    <t>Shipping - approved by KC via email</t>
  </si>
  <si>
    <t>Seward Direct Labor</t>
  </si>
  <si>
    <t>Lighting project - approved by KC via email</t>
  </si>
  <si>
    <t>Seward Indirect Labor</t>
  </si>
  <si>
    <t>Renigar, Dorothy</t>
  </si>
  <si>
    <t>T&amp;G Production - approved by KC on bi-weekly call with MK</t>
  </si>
  <si>
    <t>FL - Indirect Labor</t>
  </si>
  <si>
    <t xml:space="preserve">Fixing floors at 12th St. </t>
  </si>
  <si>
    <t>Hall, Kody</t>
  </si>
  <si>
    <t>Tradeshow</t>
  </si>
  <si>
    <t>Extra time needed for SWD price increases &amp; AAFES item set ups</t>
  </si>
  <si>
    <t>Was not taking a lunch - this has been addressed</t>
  </si>
  <si>
    <t>Bostick, Bernard</t>
  </si>
  <si>
    <t>Worked overtime due to other pickers calling out</t>
  </si>
  <si>
    <t>Jones, Anthony</t>
  </si>
  <si>
    <t>Overtime in Production</t>
  </si>
  <si>
    <t>Overtime on swab &amp; wipe machines</t>
  </si>
  <si>
    <t>Had to work a Saturday for several big drop lists</t>
  </si>
  <si>
    <t>FL - Direct Labor</t>
  </si>
  <si>
    <t>FL- Indirect Labor</t>
  </si>
  <si>
    <t>Walmart overtime due to NEWMODWK orders</t>
  </si>
  <si>
    <t>Landis, David</t>
  </si>
  <si>
    <t>Approved OT for Production</t>
  </si>
  <si>
    <t>Had to work overtime due to influx of ECOM orders - working with Clint to better manage this</t>
  </si>
  <si>
    <t>Sulyn Product &amp; Sourcing</t>
  </si>
  <si>
    <t>SCM</t>
  </si>
  <si>
    <t>Emailed CS - waiting for a response</t>
  </si>
  <si>
    <t>OT was not pre-approved - issue has been addressed</t>
  </si>
  <si>
    <t>Rutldege, Sam</t>
  </si>
  <si>
    <t>Crites, Erin</t>
  </si>
  <si>
    <t>Approved OT to help install new compressor</t>
  </si>
  <si>
    <t>Ramirez-Rodriguez, Elliot</t>
  </si>
  <si>
    <t>Approved OT</t>
  </si>
  <si>
    <t>Tapoaon, Richard</t>
  </si>
  <si>
    <t>Castator, Vanessa</t>
  </si>
  <si>
    <t>Approved OT - Walmart/Retail Link project</t>
  </si>
  <si>
    <t>Seward WH Admin</t>
  </si>
  <si>
    <t>Seward Material Handling</t>
  </si>
  <si>
    <t>Approved OT for Shipping</t>
  </si>
  <si>
    <t>General, Kerrieal</t>
  </si>
  <si>
    <t>Approved OT - short staffed in Shipping, Sardinha was out, Wyla Halloween</t>
  </si>
  <si>
    <t>Apple, Colleen</t>
  </si>
  <si>
    <t>Brantley, Nicholas</t>
  </si>
  <si>
    <t>Brooks, Crystal</t>
  </si>
  <si>
    <t>Approved by Colleen</t>
  </si>
  <si>
    <t>Approved by Kyle</t>
  </si>
  <si>
    <t>Wyla Production</t>
  </si>
  <si>
    <t>Brenner, Dian</t>
  </si>
  <si>
    <t>Seward Shipping</t>
  </si>
  <si>
    <t>Jones, Richard</t>
  </si>
  <si>
    <t>Ortiz-Rodriguez, Nilsa</t>
  </si>
  <si>
    <t>Weber, Gary</t>
  </si>
  <si>
    <t>Howe, Jacob</t>
  </si>
  <si>
    <t>Carabas, Corinne</t>
  </si>
  <si>
    <t>COP - Marketing</t>
  </si>
  <si>
    <t>Lee, Taylor</t>
  </si>
  <si>
    <t>Customer Service</t>
  </si>
  <si>
    <t>Fontanez, Chelo</t>
  </si>
  <si>
    <t>Alexander, Monica</t>
  </si>
  <si>
    <t>Moralles, Evelyn</t>
  </si>
  <si>
    <t>Taylor, Shirron</t>
  </si>
  <si>
    <t>Vines, Faith</t>
  </si>
  <si>
    <t>Tapoan, Richard</t>
  </si>
  <si>
    <t>Sanchez, Madeline</t>
  </si>
  <si>
    <t>Holmes, Walter</t>
  </si>
  <si>
    <t>Wilson, Michael</t>
  </si>
  <si>
    <t>Jones, Roneisha</t>
  </si>
  <si>
    <t>Chittenden, Charles</t>
  </si>
  <si>
    <t>Ramirez, Oswaldo</t>
  </si>
  <si>
    <t>Cobb, Kathleen</t>
  </si>
  <si>
    <t>Corporate -Compliance</t>
  </si>
  <si>
    <t>Month</t>
  </si>
  <si>
    <t>Total Hours</t>
  </si>
  <si>
    <t>2020 Total Dollars</t>
  </si>
  <si>
    <t>2019 Total Dollars</t>
  </si>
  <si>
    <t>Savings</t>
  </si>
  <si>
    <t>January</t>
  </si>
  <si>
    <t>February</t>
  </si>
  <si>
    <t>March</t>
  </si>
  <si>
    <t>April</t>
  </si>
  <si>
    <t>May</t>
  </si>
  <si>
    <t>June</t>
  </si>
  <si>
    <t>July</t>
  </si>
  <si>
    <t>August</t>
  </si>
  <si>
    <t>September</t>
  </si>
  <si>
    <t>October</t>
  </si>
  <si>
    <t>November</t>
  </si>
  <si>
    <t>December</t>
  </si>
  <si>
    <t>Frazier, Tiphanie</t>
  </si>
  <si>
    <t>Conner, Nicholas</t>
  </si>
  <si>
    <t>Sookram, Jessica</t>
  </si>
  <si>
    <t>Springston, Taylor</t>
  </si>
  <si>
    <t>Had to fix the pump house on Sunday</t>
  </si>
  <si>
    <t>Hansell, Rodriguez</t>
  </si>
  <si>
    <t>Williams, Donald</t>
  </si>
  <si>
    <t>Wyla - Customer Service</t>
  </si>
  <si>
    <t>Simon, Ashley</t>
  </si>
  <si>
    <t>Smith, Ashley</t>
  </si>
  <si>
    <t>ML Marketing</t>
  </si>
  <si>
    <t>Pradella, Lynne</t>
  </si>
  <si>
    <t>Ford, Markeith</t>
  </si>
  <si>
    <t>Francis, Corey</t>
  </si>
  <si>
    <t>Herrera, Ivonne</t>
  </si>
  <si>
    <t>Sanders, Cassaveno</t>
  </si>
  <si>
    <t>Scrubb, Sandy</t>
  </si>
  <si>
    <t>Sulyn - Product &amp; Sourcing</t>
  </si>
  <si>
    <t>Curran, Abigail</t>
  </si>
  <si>
    <t>Joye, Crystal</t>
  </si>
  <si>
    <t>Paxton, Jonah</t>
  </si>
  <si>
    <t>Wynn, Patricia</t>
  </si>
  <si>
    <t>Seward - Inventory Control</t>
  </si>
  <si>
    <t>Hajjar, Kristen</t>
  </si>
  <si>
    <t>Bayouth, Elizabeth</t>
  </si>
  <si>
    <t>Brown, Harold</t>
  </si>
  <si>
    <t>Wheeler, Errick</t>
  </si>
  <si>
    <t>White, Christina</t>
  </si>
  <si>
    <t>Acala, Amanda</t>
  </si>
  <si>
    <t>Asprea, Nancy</t>
  </si>
  <si>
    <t>Direct Labor - Wyla</t>
  </si>
  <si>
    <t>Thorpe, Ashley</t>
  </si>
  <si>
    <t>Curtis, Daisha</t>
  </si>
  <si>
    <t>Scarlett-Moore, Kadian</t>
  </si>
  <si>
    <t>Ives, Josh</t>
  </si>
  <si>
    <t>Schumacher, Robin</t>
  </si>
  <si>
    <t>Nichols, Erica</t>
  </si>
  <si>
    <t>Approved OT - should have been coded to FL</t>
  </si>
  <si>
    <t>McCallister, Dakota</t>
  </si>
  <si>
    <t>Barnes, Recemon</t>
  </si>
  <si>
    <t>Lewis,Anthony</t>
  </si>
  <si>
    <t>Nguyen, Vu</t>
  </si>
  <si>
    <t xml:space="preserve">Need to confirm with MK </t>
  </si>
  <si>
    <t>Jones, Cyrus</t>
  </si>
  <si>
    <t>Cruz, Davmary</t>
  </si>
  <si>
    <t>Millard, RaChawn</t>
  </si>
  <si>
    <t>Zigler, Michelle</t>
  </si>
  <si>
    <t>White, Crystal</t>
  </si>
  <si>
    <t>Perry, Michael</t>
  </si>
  <si>
    <t>Smith, Collin</t>
  </si>
  <si>
    <t>TH events, backorders to catch up on, C&amp;H move to SHW, ECOM increased volume</t>
  </si>
  <si>
    <t>Richardon, Tori</t>
  </si>
  <si>
    <t>Life, Jernard</t>
  </si>
  <si>
    <t>Mason, Darryl'nesha</t>
  </si>
  <si>
    <t>Rogers, Terrance</t>
  </si>
  <si>
    <t>Johnson, Larry</t>
  </si>
  <si>
    <t>Proctor, Herm</t>
  </si>
  <si>
    <t>Grey, Mardoche</t>
  </si>
  <si>
    <t>Geisler, Anastasia</t>
  </si>
  <si>
    <t>Parot, Cameron</t>
  </si>
  <si>
    <t>Tollok, Gabrielle</t>
  </si>
  <si>
    <t>Hemphill, Martin</t>
  </si>
  <si>
    <t>Hilton, Orlanda</t>
  </si>
  <si>
    <t>Jones, Emmett</t>
  </si>
  <si>
    <t>Simmons, Andrie</t>
  </si>
  <si>
    <t>Del Rosario</t>
  </si>
  <si>
    <t>Ransom, Clarence</t>
  </si>
  <si>
    <t>Johnson, Jermaine</t>
  </si>
  <si>
    <t>Mickler, Candace</t>
  </si>
  <si>
    <t>Not approved by Melissa - Filpo coded incorrectly</t>
  </si>
  <si>
    <t>Rodriguez, Sage</t>
  </si>
  <si>
    <t>Hill, Brenda</t>
  </si>
  <si>
    <t>Filpo coded hours incorrectly</t>
  </si>
  <si>
    <t>2021 Total Dollars</t>
  </si>
  <si>
    <t>AK Comments</t>
  </si>
  <si>
    <t>Baldwin, Michael</t>
  </si>
  <si>
    <t>Schumacher</t>
  </si>
  <si>
    <t>Rojas, Indra</t>
  </si>
  <si>
    <t>Wyla Marketing</t>
  </si>
  <si>
    <t>Byrd, Jeffrey</t>
  </si>
  <si>
    <t>Oswaldo, Ramirez</t>
  </si>
  <si>
    <t>Seward Maintenance</t>
  </si>
  <si>
    <t>Berry, Eglesias</t>
  </si>
  <si>
    <t>Dozier, Maurice</t>
  </si>
  <si>
    <t>Hasanovic, Emir</t>
  </si>
  <si>
    <t>Roberts, Kevonni</t>
  </si>
  <si>
    <t>Crittendon, Renata</t>
  </si>
  <si>
    <t>Taino, Marijo</t>
  </si>
  <si>
    <t>*Each C/S and Accounting employee is allowed up to 5 hrs of pre-approved overtime each week.</t>
  </si>
  <si>
    <t xml:space="preserve">*Warehouse OT is approved as needed until further notice by Marc. </t>
  </si>
  <si>
    <t>Ludlow, Scott</t>
  </si>
  <si>
    <t>Brown, Tawana</t>
  </si>
  <si>
    <t>Peters, Jeffrey</t>
  </si>
  <si>
    <t>Bethune, Cheryl</t>
  </si>
  <si>
    <t>Blessing, Matthew</t>
  </si>
  <si>
    <t>Note:</t>
  </si>
  <si>
    <t>Thompson, Brittney</t>
  </si>
  <si>
    <t>Clark, Lavarius</t>
  </si>
  <si>
    <t>Jackson, Freddie</t>
  </si>
  <si>
    <t>Jax - Inventory Control</t>
  </si>
  <si>
    <t>Ares, Felicia</t>
  </si>
  <si>
    <t>Vaughan, Edwin</t>
  </si>
  <si>
    <t>Gray, Keiandra</t>
  </si>
  <si>
    <t>Spofford, Noah</t>
  </si>
  <si>
    <t>Bayouth, Beth</t>
  </si>
  <si>
    <t>Daniels, Emily</t>
  </si>
  <si>
    <t>Gates, Eric</t>
  </si>
  <si>
    <t>Harvard, Marlowe</t>
  </si>
  <si>
    <t>Steakley, John</t>
  </si>
  <si>
    <t>Chenoweth, Caroline</t>
  </si>
  <si>
    <t>TX0001</t>
  </si>
  <si>
    <t>Art101- Marketing</t>
  </si>
  <si>
    <t>Chaney, Anfernee</t>
  </si>
  <si>
    <t>Staebler, Zachary</t>
  </si>
  <si>
    <t>Douglas, Ric</t>
  </si>
  <si>
    <t>OT Approved</t>
  </si>
  <si>
    <t xml:space="preserve">Per Marc: We had a series of orders (Wal Mart, TJMX, Marshalls) that dropped with little notice.  We worked some OT during the week and a Saturday to get this processed.  That addresses the Shipping portion of the list.  As for the Inventory Control part of the list, they worked OT to process both our Wal Mart return, our OD shipments to GCR, as well as the pallet returns needing to be redone for Accounting.  This overtime was approved.  </t>
  </si>
  <si>
    <t>Santiago, Miriam</t>
  </si>
  <si>
    <t>Nelson, Roderick</t>
  </si>
  <si>
    <t>Preapproved due to staff shortage</t>
  </si>
  <si>
    <t>Perrin, Lori</t>
  </si>
  <si>
    <t>Rawstrom, Sarena</t>
  </si>
  <si>
    <t>Stangis, Megan</t>
  </si>
  <si>
    <t>Richardson, Tori</t>
  </si>
  <si>
    <t>Marc's comments for the month: We lost an employee in Order Management that's why Shipping Admin is there.</t>
  </si>
  <si>
    <t xml:space="preserve">We worked OT in Shipping to ready for the hurricane.  </t>
  </si>
  <si>
    <t>Combs, Donald</t>
  </si>
  <si>
    <t>Bugos, Amy</t>
  </si>
  <si>
    <t>Underwood, Brittani</t>
  </si>
  <si>
    <t>OT Preapproved</t>
  </si>
  <si>
    <t>Polsenski, Rochelle</t>
  </si>
  <si>
    <t>Dorrin, Marie</t>
  </si>
  <si>
    <t>Elliott, Tiana</t>
  </si>
  <si>
    <t>Maisonet, David</t>
  </si>
  <si>
    <t>Powell, Deborah</t>
  </si>
  <si>
    <t>Lowe, Jill</t>
  </si>
  <si>
    <t>Cabingabang, Maricar</t>
  </si>
  <si>
    <t>Resignac, Jean</t>
  </si>
  <si>
    <t>Gordon, Devante</t>
  </si>
  <si>
    <t>Murton, Chasta</t>
  </si>
  <si>
    <t>Crowe, Charles</t>
  </si>
  <si>
    <t>Gilley, Ericka</t>
  </si>
  <si>
    <t>Approved</t>
  </si>
  <si>
    <t>Edwards, Michael</t>
  </si>
  <si>
    <t>Nemeth, Christopher</t>
  </si>
  <si>
    <t xml:space="preserve">Per MM: Nilsa’s time was a timekeeping error that was corrected by both Lorenzo and Paula.  </t>
  </si>
  <si>
    <t>Harral, Faith</t>
  </si>
  <si>
    <t>Howes, Anne</t>
  </si>
  <si>
    <t>2022 Total Dollars</t>
  </si>
  <si>
    <t xml:space="preserve">Approved, attributed to her picking up other craft and hobby tasks due to Marie going out on medical leave, and travel for FL Tradeshows. </t>
  </si>
  <si>
    <t>Stout, Shawn</t>
  </si>
  <si>
    <t>Singh, Kumar</t>
  </si>
  <si>
    <t>Indirect Labor</t>
  </si>
  <si>
    <t>Seward Shipping Admin</t>
  </si>
  <si>
    <t>Varcoe, Marie</t>
  </si>
  <si>
    <t>C&amp;H Marketing</t>
  </si>
  <si>
    <t xml:space="preserve">Per MC: Overtime should decline in April </t>
  </si>
  <si>
    <t>Arcangel, Jhovan</t>
  </si>
  <si>
    <t>Davis, Eric</t>
  </si>
  <si>
    <t>Peters, Jeff</t>
  </si>
  <si>
    <t>FL Direct Labor</t>
  </si>
  <si>
    <t xml:space="preserve">Approved, she is working on a big project. </t>
  </si>
  <si>
    <t>Goodman, Ronnie</t>
  </si>
  <si>
    <t>Fermella, Diamond</t>
  </si>
  <si>
    <t>Seward Inventory Control</t>
  </si>
  <si>
    <t>Approved *See Notes</t>
  </si>
  <si>
    <t>PBG Notes: It is approved, but it was coded according to actual days/hours worked during the week, causing all OT to hit home departments improperly.</t>
  </si>
  <si>
    <t>D. Renigar 10 hours should be:</t>
  </si>
  <si>
    <t>Killmon, Stephanie</t>
  </si>
  <si>
    <t>              2 OT 450044</t>
  </si>
  <si>
    <t>              8 OT 550051</t>
  </si>
  <si>
    <t>S. Killmon 5 Hours should be:</t>
  </si>
  <si>
    <t>              5 OT 550051</t>
  </si>
  <si>
    <t>M. Hemphill 10.98 Hours should be:</t>
  </si>
  <si>
    <t>              10.98 OT 550051</t>
  </si>
  <si>
    <t>Mercury- Marketing</t>
  </si>
  <si>
    <t>Rosario, JoDeana</t>
  </si>
  <si>
    <t xml:space="preserve">Per ML: should be coded to Shipping Admin and not inventory control. She is looking into correcting it. </t>
  </si>
  <si>
    <t xml:space="preserve">Per ML: this OT was approved, but not against Seward it should have been against Floating Luxuries.  It is coded to FL properly in ADP, however, She is looking into correcting it. </t>
  </si>
  <si>
    <t>O'Mara-West, Lisa</t>
  </si>
  <si>
    <t>Per MM: We had some picker OT for large drop orders. Approved OT for reach drivers for put away and replen.</t>
  </si>
  <si>
    <t xml:space="preserve"> Per MM: Receiving was approved for large container volume.</t>
  </si>
  <si>
    <t>Redmon, Sabastion</t>
  </si>
  <si>
    <t>Grant, Donta</t>
  </si>
  <si>
    <t>Garcia, Angel</t>
  </si>
  <si>
    <t>English, Yvonnie</t>
  </si>
  <si>
    <t>Floyd, Fermella</t>
  </si>
  <si>
    <t>Swann, David</t>
  </si>
  <si>
    <t xml:space="preserve"> Per MM: FL OT was approved by CF for float season.</t>
  </si>
  <si>
    <t>BU was traveling for a Floating Luxuries Tradeshow during this time and working longer hours.</t>
  </si>
  <si>
    <t>Studstill, Micaela</t>
  </si>
  <si>
    <t>Core, David</t>
  </si>
  <si>
    <t>Dillon, Lukeither</t>
  </si>
  <si>
    <t>Carter, Tyler</t>
  </si>
  <si>
    <t>COP- Marketing</t>
  </si>
  <si>
    <t xml:space="preserve">Per Marc: One Saturday was worked in September. </t>
  </si>
  <si>
    <t>Desmoulins, Khalil</t>
  </si>
  <si>
    <t>Wiggins, Enrique</t>
  </si>
  <si>
    <t>Per Ernest: He was working on a project at the warehouse that pushed him over a few minutes each day he was there.</t>
  </si>
  <si>
    <t>*Brittani attended a waterpark show in New Orleans with Charlie at the end of the month</t>
  </si>
  <si>
    <t xml:space="preserve">* Per MM - We had significant deliveries into GCR in October so that OT is approved. 
</t>
  </si>
  <si>
    <t>Crosby, Victoria</t>
  </si>
  <si>
    <t xml:space="preserve">We also had our reach drivers working longer hours to help with our replenishment at 12th St too so that OT is approved as well. </t>
  </si>
  <si>
    <t>All other OT falls into the “normal” category.</t>
  </si>
  <si>
    <t>Kesterson, Shanna</t>
  </si>
  <si>
    <t>Galvin, Laurel</t>
  </si>
  <si>
    <t>Schneider, Michael</t>
  </si>
  <si>
    <t>Bragdon, Marcy</t>
  </si>
  <si>
    <t>OTT001</t>
  </si>
  <si>
    <t>OttLite - Customer Service</t>
  </si>
  <si>
    <t>Goodwin, Jennifer</t>
  </si>
  <si>
    <t>2023 Total Dollars</t>
  </si>
  <si>
    <t>Dyer, Cassandra</t>
  </si>
  <si>
    <t>Fields, Jack</t>
  </si>
  <si>
    <t>Cirino, Destiny</t>
  </si>
  <si>
    <t>Harris, Jasmine</t>
  </si>
  <si>
    <t>Hutchinson, Terrance</t>
  </si>
  <si>
    <t>Jones, Rodney</t>
  </si>
  <si>
    <t>Levi, Diontreniece</t>
  </si>
  <si>
    <t>Sanchez-Nieves, Naomi</t>
  </si>
  <si>
    <t>Thomas, Fredarius</t>
  </si>
  <si>
    <t>.</t>
  </si>
  <si>
    <t xml:space="preserve">Jill attended a tradeshow with Charlie. </t>
  </si>
  <si>
    <t xml:space="preserve">Per Marc: </t>
  </si>
  <si>
    <t>We had approved weekend OT at GCR for ADVII customers.</t>
  </si>
  <si>
    <t>Our Replen drivers were on OT for CLI.</t>
  </si>
  <si>
    <r>
      <t>12</t>
    </r>
    <r>
      <rPr>
        <vertAlign val="superscript"/>
        <sz val="11"/>
        <rFont val="Calibri"/>
        <family val="2"/>
      </rPr>
      <t>th</t>
    </r>
    <r>
      <rPr>
        <sz val="11"/>
        <rFont val="Calibri"/>
        <family val="2"/>
      </rPr>
      <t xml:space="preserve"> St picking had 1 half Saturday for catch-up on drop orders.</t>
    </r>
  </si>
  <si>
    <t>Finally, Jose is on OT to maintain battery life at each facility on the weekends.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</si>
</sst>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164" formatCode="#,###.00;\(#,###.00\);0.00"/>
    <numFmt numFmtId="165" formatCode="&quot;$&quot;#,###.00;&quot;$&quot;\-#,###.00;&quot;$&quot;0.00"/>
    <numFmt numFmtId="166" formatCode="&quot;$&quot;#,##0.00"/>
    <numFmt numFmtId="167" formatCode="####.00;\(####.00\);0.00"/>
    <numFmt numFmtId="168" formatCode="_([$$-409]* #,##0.00_);_([$$-409]* \(#,##0.00\);_([$$-409]* &quot;-&quot;??_);_(@_)"/>
  </numFmts>
  <fonts count="15">
    <font>
      <sz val="10"/>
      <name val="Arial"/>
    </font>
    <font>
      <sz val="10"/>
      <name val="Arial"/>
    </font>
    <font>
      <sz val="10"/>
      <name val="Arial"/>
      <family val="2"/>
    </font>
    <font>
      <b/>
      <sz val="10"/>
      <name val="Arial"/>
      <family val="2"/>
    </font>
    <font>
      <b/>
      <u/>
      <sz val="10"/>
      <name val="Arial"/>
      <family val="2"/>
    </font>
    <font>
      <u val="singleAccounting"/>
      <sz val="10"/>
      <name val="Arial"/>
      <family val="2"/>
    </font>
    <font>
      <sz val="11"/>
      <name val="Calibri"/>
      <family val="2"/>
    </font>
    <font>
      <sz val="11"/>
      <name val="Calibri"/>
      <family val="2"/>
      <scheme val="minor"/>
    </font>
    <font>
      <b/>
      <sz val="10"/>
      <name val="Calibri"/>
    </font>
    <font>
      <sz val="10"/>
      <name val="Calibri"/>
    </font>
    <font>
      <sz val="11"/>
      <name val="Calibri"/>
    </font>
    <font>
      <sz val="11"/>
      <name val="Calibri"/>
      <family val="2"/>
      <charset val="1"/>
    </font>
    <font>
      <sz val="12"/>
      <color rgb="FF000000"/>
      <name val="Calibri"/>
      <family val="2"/>
      <charset val="1"/>
    </font>
    <font>
      <sz val="11"/>
      <color rgb="FF444444"/>
      <name val="Calibri"/>
      <family val="2"/>
      <charset val="1"/>
    </font>
    <font>
      <vertAlign val="superscript"/>
      <sz val="11"/>
      <name val="Calibri"/>
      <family val="2"/>
    </font>
  </fonts>
  <fills count="2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A86ED4"/>
        <bgColor indexed="64"/>
      </patternFill>
    </fill>
    <fill>
      <patternFill patternType="solid">
        <fgColor rgb="FF9966FF"/>
        <bgColor indexed="64"/>
      </patternFill>
    </fill>
    <fill>
      <patternFill patternType="solid">
        <fgColor rgb="FFFF33CC"/>
        <bgColor indexed="64"/>
      </patternFill>
    </fill>
    <fill>
      <patternFill patternType="solid">
        <fgColor rgb="FFCC66FF"/>
        <bgColor indexed="64"/>
      </patternFill>
    </fill>
    <fill>
      <patternFill patternType="solid">
        <fgColor rgb="FFAA72D4"/>
        <bgColor indexed="64"/>
      </patternFill>
    </fill>
    <fill>
      <patternFill patternType="solid">
        <fgColor rgb="FFFF00FF"/>
        <bgColor indexed="64"/>
      </patternFill>
    </fill>
    <fill>
      <patternFill patternType="solid">
        <fgColor rgb="FF7030A0"/>
        <bgColor indexed="64"/>
      </patternFill>
    </fill>
    <fill>
      <patternFill patternType="solid">
        <fgColor rgb="FF9C5BCD"/>
        <bgColor indexed="64"/>
      </patternFill>
    </fill>
    <fill>
      <patternFill patternType="solid">
        <fgColor rgb="FF8439BD"/>
        <bgColor indexed="64"/>
      </patternFill>
    </fill>
    <fill>
      <patternFill patternType="solid">
        <fgColor rgb="FF9148C8"/>
        <bgColor indexed="64"/>
      </patternFill>
    </fill>
    <fill>
      <patternFill patternType="solid">
        <fgColor rgb="FF9933FF"/>
        <bgColor indexed="64"/>
      </patternFill>
    </fill>
    <fill>
      <patternFill patternType="solid">
        <fgColor rgb="FFFF0000"/>
        <bgColor indexed="64"/>
      </patternFill>
    </fill>
    <fill>
      <patternFill patternType="solid">
        <fgColor theme="0"/>
        <bgColor indexed="64"/>
      </patternFill>
    </fill>
    <fill>
      <patternFill patternType="solid">
        <fgColor rgb="FF9751CB"/>
        <bgColor indexed="64"/>
      </patternFill>
    </fill>
    <fill>
      <patternFill patternType="solid">
        <fgColor rgb="FFFF66FF"/>
        <bgColor indexed="64"/>
      </patternFill>
    </fill>
    <fill>
      <patternFill patternType="solid">
        <fgColor rgb="FFC880DC"/>
        <bgColor indexed="64"/>
      </patternFill>
    </fill>
    <fill>
      <patternFill patternType="solid">
        <fgColor rgb="FFFF3399"/>
        <bgColor indexed="64"/>
      </patternFill>
    </fill>
    <fill>
      <patternFill patternType="solid">
        <fgColor rgb="FFCC00FF"/>
        <bgColor indexed="64"/>
      </patternFill>
    </fill>
    <fill>
      <patternFill patternType="solid">
        <fgColor rgb="FFFF05BC"/>
        <bgColor indexed="64"/>
      </patternFill>
    </fill>
    <fill>
      <patternFill patternType="solid">
        <fgColor rgb="FFF4B084"/>
        <bgColor indexed="64"/>
      </patternFill>
    </fill>
    <fill>
      <patternFill patternType="solid">
        <fgColor theme="7"/>
        <bgColor indexed="64"/>
      </patternFill>
    </fill>
  </fills>
  <borders count="1">
    <border>
      <left/>
      <right/>
      <top/>
      <bottom/>
      <diagonal/>
    </border>
  </borders>
  <cellStyleXfs count="4">
    <xf numFmtId="0" fontId="0" fillId="0" borderId="0"/>
    <xf numFmtId="44" fontId="1" fillId="0" borderId="0" applyFont="0" applyFill="0" applyBorder="0" applyAlignment="0" applyProtection="0"/>
    <xf numFmtId="44" fontId="2" fillId="0" borderId="0" applyFont="0" applyFill="0" applyBorder="0" applyAlignment="0" applyProtection="0"/>
    <xf numFmtId="0" fontId="2" fillId="0" borderId="0"/>
  </cellStyleXfs>
  <cellXfs count="314">
    <xf numFmtId="0" fontId="0" fillId="0" borderId="0" xfId="0"/>
    <xf numFmtId="0" fontId="3" fillId="0" borderId="0" xfId="0" applyFont="1"/>
    <xf numFmtId="0" fontId="0" fillId="0" borderId="0" xfId="0" applyAlignment="1">
      <alignment horizontal="left"/>
    </xf>
    <xf numFmtId="0" fontId="0" fillId="0" borderId="0" xfId="0" quotePrefix="1" applyAlignment="1">
      <alignment horizontal="left"/>
    </xf>
    <xf numFmtId="164" fontId="0" fillId="0" borderId="0" xfId="0" applyNumberFormat="1"/>
    <xf numFmtId="165" fontId="0" fillId="0" borderId="0" xfId="0" applyNumberFormat="1"/>
    <xf numFmtId="0" fontId="2" fillId="0" borderId="0" xfId="0" applyFont="1" applyAlignment="1">
      <alignment horizontal="left"/>
    </xf>
    <xf numFmtId="164" fontId="2" fillId="0" borderId="0" xfId="0" applyNumberFormat="1" applyFont="1" applyAlignment="1">
      <alignment horizontal="right"/>
    </xf>
    <xf numFmtId="165" fontId="2" fillId="0" borderId="0" xfId="0" applyNumberFormat="1" applyFont="1" applyAlignment="1">
      <alignment horizontal="left"/>
    </xf>
    <xf numFmtId="0" fontId="0" fillId="2" borderId="0" xfId="0" applyFill="1" applyAlignment="1">
      <alignment horizontal="left"/>
    </xf>
    <xf numFmtId="0" fontId="2" fillId="0" borderId="0" xfId="0" applyFont="1"/>
    <xf numFmtId="0" fontId="3" fillId="0" borderId="0" xfId="0" applyFont="1" applyAlignment="1">
      <alignment horizontal="center"/>
    </xf>
    <xf numFmtId="166" fontId="0" fillId="0" borderId="0" xfId="0" applyNumberFormat="1"/>
    <xf numFmtId="166" fontId="3" fillId="2" borderId="0" xfId="0" applyNumberFormat="1" applyFont="1" applyFill="1" applyAlignment="1">
      <alignment horizontal="center"/>
    </xf>
    <xf numFmtId="44" fontId="3" fillId="3" borderId="0" xfId="1" applyFont="1" applyFill="1" applyAlignment="1">
      <alignment horizontal="center"/>
    </xf>
    <xf numFmtId="165" fontId="3" fillId="4" borderId="0" xfId="0" applyNumberFormat="1" applyFont="1" applyFill="1" applyAlignment="1">
      <alignment horizontal="center"/>
    </xf>
    <xf numFmtId="166" fontId="3" fillId="5" borderId="0" xfId="0" applyNumberFormat="1" applyFont="1" applyFill="1" applyAlignment="1">
      <alignment horizontal="center"/>
    </xf>
    <xf numFmtId="0" fontId="0" fillId="6" borderId="0" xfId="0" applyFill="1" applyAlignment="1">
      <alignment horizontal="left"/>
    </xf>
    <xf numFmtId="0" fontId="0" fillId="0" borderId="0" xfId="0" applyAlignment="1">
      <alignment horizontal="center"/>
    </xf>
    <xf numFmtId="0" fontId="3" fillId="0" borderId="0" xfId="3" applyFont="1" applyAlignment="1">
      <alignment horizontal="center"/>
    </xf>
    <xf numFmtId="0" fontId="2" fillId="0" borderId="0" xfId="3" applyAlignment="1">
      <alignment horizontal="center"/>
    </xf>
    <xf numFmtId="164" fontId="2" fillId="0" borderId="0" xfId="3" applyNumberFormat="1" applyAlignment="1">
      <alignment horizontal="center"/>
    </xf>
    <xf numFmtId="165" fontId="2" fillId="0" borderId="0" xfId="3" applyNumberFormat="1" applyAlignment="1">
      <alignment horizontal="center"/>
    </xf>
    <xf numFmtId="0" fontId="2" fillId="0" borderId="0" xfId="3" quotePrefix="1" applyAlignment="1">
      <alignment horizontal="center"/>
    </xf>
    <xf numFmtId="2" fontId="3" fillId="0" borderId="0" xfId="3" applyNumberFormat="1" applyFont="1" applyAlignment="1">
      <alignment horizontal="center"/>
    </xf>
    <xf numFmtId="165" fontId="3" fillId="0" borderId="0" xfId="3" applyNumberFormat="1" applyFont="1" applyAlignment="1">
      <alignment horizontal="center"/>
    </xf>
    <xf numFmtId="164" fontId="3" fillId="0" borderId="0" xfId="3" applyNumberFormat="1" applyFont="1" applyAlignment="1">
      <alignment horizontal="center"/>
    </xf>
    <xf numFmtId="0" fontId="2" fillId="2" borderId="0" xfId="3" applyFill="1" applyAlignment="1">
      <alignment horizontal="center"/>
    </xf>
    <xf numFmtId="0" fontId="2" fillId="2" borderId="0" xfId="3" quotePrefix="1" applyFill="1" applyAlignment="1">
      <alignment horizontal="center"/>
    </xf>
    <xf numFmtId="164" fontId="2" fillId="2" borderId="0" xfId="3" applyNumberFormat="1" applyFill="1" applyAlignment="1">
      <alignment horizontal="center"/>
    </xf>
    <xf numFmtId="165" fontId="2" fillId="2" borderId="0" xfId="3" applyNumberFormat="1" applyFill="1" applyAlignment="1">
      <alignment horizontal="center"/>
    </xf>
    <xf numFmtId="0" fontId="2" fillId="0" borderId="0" xfId="0" applyFont="1" applyAlignment="1">
      <alignment horizontal="center"/>
    </xf>
    <xf numFmtId="0" fontId="2" fillId="5" borderId="0" xfId="3" applyFill="1" applyAlignment="1">
      <alignment horizontal="center"/>
    </xf>
    <xf numFmtId="164" fontId="2" fillId="5" borderId="0" xfId="3" applyNumberFormat="1" applyFill="1" applyAlignment="1">
      <alignment horizontal="center"/>
    </xf>
    <xf numFmtId="165" fontId="2" fillId="5" borderId="0" xfId="3" applyNumberFormat="1" applyFill="1" applyAlignment="1">
      <alignment horizontal="center"/>
    </xf>
    <xf numFmtId="0" fontId="4" fillId="0" borderId="0" xfId="0" applyFont="1" applyAlignment="1">
      <alignment horizontal="center"/>
    </xf>
    <xf numFmtId="44" fontId="0" fillId="0" borderId="0" xfId="1" applyFont="1" applyAlignment="1">
      <alignment horizontal="center"/>
    </xf>
    <xf numFmtId="44" fontId="3" fillId="2" borderId="0" xfId="0" applyNumberFormat="1" applyFont="1" applyFill="1" applyAlignment="1">
      <alignment horizontal="center"/>
    </xf>
    <xf numFmtId="0" fontId="3" fillId="2" borderId="0" xfId="0" applyFont="1" applyFill="1" applyAlignment="1">
      <alignment horizontal="center"/>
    </xf>
    <xf numFmtId="0" fontId="3" fillId="5" borderId="0" xfId="0" applyFont="1" applyFill="1" applyAlignment="1">
      <alignment horizontal="center"/>
    </xf>
    <xf numFmtId="0" fontId="3" fillId="3" borderId="0" xfId="0" applyFont="1" applyFill="1" applyAlignment="1">
      <alignment horizontal="center"/>
    </xf>
    <xf numFmtId="0" fontId="3" fillId="4" borderId="0" xfId="0" applyFont="1" applyFill="1" applyAlignment="1">
      <alignment horizontal="center"/>
    </xf>
    <xf numFmtId="0" fontId="3" fillId="7" borderId="0" xfId="0" applyFont="1" applyFill="1" applyAlignment="1">
      <alignment horizontal="center"/>
    </xf>
    <xf numFmtId="165" fontId="3" fillId="7" borderId="0" xfId="0" applyNumberFormat="1" applyFont="1" applyFill="1" applyAlignment="1">
      <alignment horizontal="center"/>
    </xf>
    <xf numFmtId="0" fontId="2" fillId="7" borderId="0" xfId="3" applyFill="1" applyAlignment="1">
      <alignment horizontal="center"/>
    </xf>
    <xf numFmtId="164" fontId="2" fillId="7" borderId="0" xfId="3" applyNumberFormat="1" applyFill="1" applyAlignment="1">
      <alignment horizontal="center"/>
    </xf>
    <xf numFmtId="165" fontId="2" fillId="7" borderId="0" xfId="3" applyNumberFormat="1" applyFill="1" applyAlignment="1">
      <alignment horizontal="center"/>
    </xf>
    <xf numFmtId="0" fontId="2" fillId="3" borderId="0" xfId="3" applyFill="1" applyAlignment="1">
      <alignment horizontal="center"/>
    </xf>
    <xf numFmtId="0" fontId="2" fillId="3" borderId="0" xfId="3" quotePrefix="1" applyFill="1" applyAlignment="1">
      <alignment horizontal="center"/>
    </xf>
    <xf numFmtId="164" fontId="2" fillId="3" borderId="0" xfId="3" applyNumberFormat="1" applyFill="1" applyAlignment="1">
      <alignment horizontal="center"/>
    </xf>
    <xf numFmtId="165" fontId="2" fillId="3" borderId="0" xfId="3" applyNumberFormat="1" applyFill="1" applyAlignment="1">
      <alignment horizontal="center"/>
    </xf>
    <xf numFmtId="166" fontId="3" fillId="3" borderId="0" xfId="0" applyNumberFormat="1" applyFont="1" applyFill="1" applyAlignment="1">
      <alignment horizontal="center"/>
    </xf>
    <xf numFmtId="165" fontId="3" fillId="5" borderId="0" xfId="0" applyNumberFormat="1" applyFont="1" applyFill="1" applyAlignment="1">
      <alignment horizontal="center"/>
    </xf>
    <xf numFmtId="44" fontId="0" fillId="0" borderId="0" xfId="1" applyFont="1"/>
    <xf numFmtId="44" fontId="0" fillId="0" borderId="0" xfId="0" applyNumberFormat="1"/>
    <xf numFmtId="2" fontId="2" fillId="0" borderId="0" xfId="3" applyNumberFormat="1" applyAlignment="1">
      <alignment horizontal="center"/>
    </xf>
    <xf numFmtId="0" fontId="0" fillId="2" borderId="0" xfId="0" applyFill="1" applyAlignment="1">
      <alignment horizontal="center"/>
    </xf>
    <xf numFmtId="0" fontId="2" fillId="5" borderId="0" xfId="0" applyFont="1" applyFill="1" applyAlignment="1">
      <alignment horizontal="center"/>
    </xf>
    <xf numFmtId="0" fontId="3" fillId="8" borderId="0" xfId="0" applyFont="1" applyFill="1" applyAlignment="1">
      <alignment horizontal="center"/>
    </xf>
    <xf numFmtId="165" fontId="3" fillId="8" borderId="0" xfId="0" applyNumberFormat="1" applyFont="1" applyFill="1" applyAlignment="1">
      <alignment horizontal="center"/>
    </xf>
    <xf numFmtId="0" fontId="2" fillId="8" borderId="0" xfId="3" applyFill="1" applyAlignment="1">
      <alignment horizontal="center"/>
    </xf>
    <xf numFmtId="0" fontId="2" fillId="8" borderId="0" xfId="3" quotePrefix="1" applyFill="1" applyAlignment="1">
      <alignment horizontal="center"/>
    </xf>
    <xf numFmtId="164" fontId="2" fillId="8" borderId="0" xfId="3" applyNumberFormat="1" applyFill="1" applyAlignment="1">
      <alignment horizontal="center"/>
    </xf>
    <xf numFmtId="165" fontId="2" fillId="8" borderId="0" xfId="3" applyNumberFormat="1" applyFill="1" applyAlignment="1">
      <alignment horizontal="center"/>
    </xf>
    <xf numFmtId="44" fontId="5" fillId="0" borderId="0" xfId="1" applyFont="1"/>
    <xf numFmtId="0" fontId="2" fillId="8" borderId="0" xfId="0" applyFont="1" applyFill="1" applyAlignment="1">
      <alignment horizontal="center"/>
    </xf>
    <xf numFmtId="165" fontId="3" fillId="3" borderId="0" xfId="0" applyNumberFormat="1" applyFont="1" applyFill="1" applyAlignment="1">
      <alignment horizontal="center"/>
    </xf>
    <xf numFmtId="44" fontId="3" fillId="5" borderId="0" xfId="0" applyNumberFormat="1" applyFont="1" applyFill="1" applyAlignment="1">
      <alignment horizontal="center"/>
    </xf>
    <xf numFmtId="44" fontId="3" fillId="3" borderId="0" xfId="0" applyNumberFormat="1" applyFont="1" applyFill="1"/>
    <xf numFmtId="0" fontId="2" fillId="9" borderId="0" xfId="3" applyFill="1" applyAlignment="1">
      <alignment horizontal="center"/>
    </xf>
    <xf numFmtId="0" fontId="2" fillId="9" borderId="0" xfId="3" quotePrefix="1" applyFill="1" applyAlignment="1">
      <alignment horizontal="center"/>
    </xf>
    <xf numFmtId="164" fontId="2" fillId="9" borderId="0" xfId="3" applyNumberFormat="1" applyFill="1" applyAlignment="1">
      <alignment horizontal="center"/>
    </xf>
    <xf numFmtId="165" fontId="2" fillId="9" borderId="0" xfId="3" applyNumberFormat="1" applyFill="1" applyAlignment="1">
      <alignment horizontal="center"/>
    </xf>
    <xf numFmtId="0" fontId="2" fillId="4" borderId="0" xfId="3" applyFill="1" applyAlignment="1">
      <alignment horizontal="center"/>
    </xf>
    <xf numFmtId="164" fontId="2" fillId="4" borderId="0" xfId="3" applyNumberFormat="1" applyFill="1" applyAlignment="1">
      <alignment horizontal="center"/>
    </xf>
    <xf numFmtId="165" fontId="2" fillId="4" borderId="0" xfId="3" applyNumberFormat="1" applyFill="1" applyAlignment="1">
      <alignment horizontal="center"/>
    </xf>
    <xf numFmtId="0" fontId="2" fillId="10" borderId="0" xfId="3" applyFill="1" applyAlignment="1">
      <alignment horizontal="center"/>
    </xf>
    <xf numFmtId="164" fontId="2" fillId="10" borderId="0" xfId="3" applyNumberFormat="1" applyFill="1" applyAlignment="1">
      <alignment horizontal="center"/>
    </xf>
    <xf numFmtId="165" fontId="2" fillId="10" borderId="0" xfId="3" applyNumberFormat="1" applyFill="1" applyAlignment="1">
      <alignment horizontal="center"/>
    </xf>
    <xf numFmtId="0" fontId="2" fillId="10" borderId="0" xfId="3" quotePrefix="1" applyFill="1" applyAlignment="1">
      <alignment horizontal="center"/>
    </xf>
    <xf numFmtId="0" fontId="2" fillId="11" borderId="0" xfId="3" applyFill="1" applyAlignment="1">
      <alignment horizontal="center"/>
    </xf>
    <xf numFmtId="0" fontId="2" fillId="11" borderId="0" xfId="3" quotePrefix="1" applyFill="1" applyAlignment="1">
      <alignment horizontal="center"/>
    </xf>
    <xf numFmtId="164" fontId="2" fillId="11" borderId="0" xfId="3" applyNumberFormat="1" applyFill="1" applyAlignment="1">
      <alignment horizontal="center"/>
    </xf>
    <xf numFmtId="165" fontId="2" fillId="11" borderId="0" xfId="3" applyNumberFormat="1" applyFill="1" applyAlignment="1">
      <alignment horizontal="center"/>
    </xf>
    <xf numFmtId="0" fontId="2" fillId="12" borderId="0" xfId="3" applyFill="1" applyAlignment="1">
      <alignment horizontal="center"/>
    </xf>
    <xf numFmtId="0" fontId="2" fillId="12" borderId="0" xfId="3" quotePrefix="1" applyFill="1" applyAlignment="1">
      <alignment horizontal="center"/>
    </xf>
    <xf numFmtId="164" fontId="2" fillId="12" borderId="0" xfId="3" applyNumberFormat="1" applyFill="1" applyAlignment="1">
      <alignment horizontal="center"/>
    </xf>
    <xf numFmtId="165" fontId="2" fillId="12" borderId="0" xfId="3" applyNumberFormat="1" applyFill="1" applyAlignment="1">
      <alignment horizontal="center"/>
    </xf>
    <xf numFmtId="0" fontId="3" fillId="11" borderId="0" xfId="0" applyFont="1" applyFill="1" applyAlignment="1">
      <alignment horizontal="center"/>
    </xf>
    <xf numFmtId="165" fontId="3" fillId="11" borderId="0" xfId="0" applyNumberFormat="1" applyFont="1" applyFill="1" applyAlignment="1">
      <alignment horizontal="center"/>
    </xf>
    <xf numFmtId="0" fontId="2" fillId="7" borderId="0" xfId="3" quotePrefix="1" applyFill="1" applyAlignment="1">
      <alignment horizontal="center"/>
    </xf>
    <xf numFmtId="2" fontId="2" fillId="2" borderId="0" xfId="3" applyNumberFormat="1" applyFill="1" applyAlignment="1">
      <alignment horizontal="center"/>
    </xf>
    <xf numFmtId="165" fontId="3" fillId="0" borderId="0" xfId="0" applyNumberFormat="1" applyFont="1" applyAlignment="1">
      <alignment horizontal="center"/>
    </xf>
    <xf numFmtId="0" fontId="3" fillId="13" borderId="0" xfId="0" applyFont="1" applyFill="1" applyAlignment="1">
      <alignment horizontal="center"/>
    </xf>
    <xf numFmtId="165" fontId="3" fillId="13" borderId="0" xfId="0" applyNumberFormat="1" applyFont="1" applyFill="1" applyAlignment="1">
      <alignment horizontal="center"/>
    </xf>
    <xf numFmtId="0" fontId="2" fillId="13" borderId="0" xfId="3" applyFill="1" applyAlignment="1">
      <alignment horizontal="center"/>
    </xf>
    <xf numFmtId="0" fontId="2" fillId="13" borderId="0" xfId="3" quotePrefix="1" applyFill="1" applyAlignment="1">
      <alignment horizontal="center"/>
    </xf>
    <xf numFmtId="164" fontId="2" fillId="13" borderId="0" xfId="3" applyNumberFormat="1" applyFill="1" applyAlignment="1">
      <alignment horizontal="center"/>
    </xf>
    <xf numFmtId="165" fontId="2" fillId="13" borderId="0" xfId="3" applyNumberFormat="1" applyFill="1" applyAlignment="1">
      <alignment horizontal="center"/>
    </xf>
    <xf numFmtId="0" fontId="2" fillId="14" borderId="0" xfId="3" applyFill="1" applyAlignment="1">
      <alignment horizontal="center"/>
    </xf>
    <xf numFmtId="0" fontId="2" fillId="14" borderId="0" xfId="3" quotePrefix="1" applyFill="1" applyAlignment="1">
      <alignment horizontal="center"/>
    </xf>
    <xf numFmtId="164" fontId="2" fillId="14" borderId="0" xfId="3" applyNumberFormat="1" applyFill="1" applyAlignment="1">
      <alignment horizontal="center"/>
    </xf>
    <xf numFmtId="165" fontId="2" fillId="14" borderId="0" xfId="3" applyNumberFormat="1" applyFill="1" applyAlignment="1">
      <alignment horizontal="center"/>
    </xf>
    <xf numFmtId="0" fontId="2" fillId="5" borderId="0" xfId="3" quotePrefix="1" applyFill="1" applyAlignment="1">
      <alignment horizontal="center"/>
    </xf>
    <xf numFmtId="39" fontId="0" fillId="0" borderId="0" xfId="0" applyNumberFormat="1" applyAlignment="1">
      <alignment horizontal="center"/>
    </xf>
    <xf numFmtId="0" fontId="3" fillId="0" borderId="0" xfId="3" quotePrefix="1" applyFont="1" applyAlignment="1">
      <alignment horizontal="center"/>
    </xf>
    <xf numFmtId="0" fontId="2" fillId="11" borderId="0" xfId="0" applyFont="1" applyFill="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165" fontId="2" fillId="11" borderId="0" xfId="0" applyNumberFormat="1" applyFont="1" applyFill="1" applyAlignment="1">
      <alignment horizontal="center"/>
    </xf>
    <xf numFmtId="0" fontId="2" fillId="0" borderId="0" xfId="0" applyFont="1" applyAlignment="1">
      <alignment wrapText="1"/>
    </xf>
    <xf numFmtId="0" fontId="2" fillId="15" borderId="0" xfId="3" applyFill="1" applyAlignment="1">
      <alignment horizontal="center"/>
    </xf>
    <xf numFmtId="0" fontId="2" fillId="15" borderId="0" xfId="3" quotePrefix="1" applyFill="1" applyAlignment="1">
      <alignment horizontal="center"/>
    </xf>
    <xf numFmtId="164" fontId="2" fillId="15" borderId="0" xfId="3" applyNumberFormat="1" applyFill="1" applyAlignment="1">
      <alignment horizontal="center"/>
    </xf>
    <xf numFmtId="165" fontId="2" fillId="15" borderId="0" xfId="3" applyNumberFormat="1" applyFill="1" applyAlignment="1">
      <alignment horizontal="center"/>
    </xf>
    <xf numFmtId="0" fontId="2" fillId="16" borderId="0" xfId="3" applyFill="1" applyAlignment="1">
      <alignment horizontal="center"/>
    </xf>
    <xf numFmtId="0" fontId="2" fillId="16" borderId="0" xfId="3" quotePrefix="1" applyFill="1" applyAlignment="1">
      <alignment horizontal="center"/>
    </xf>
    <xf numFmtId="164" fontId="2" fillId="16" borderId="0" xfId="3" applyNumberFormat="1" applyFill="1" applyAlignment="1">
      <alignment horizontal="center"/>
    </xf>
    <xf numFmtId="165" fontId="2" fillId="16" borderId="0" xfId="3" applyNumberFormat="1" applyFill="1" applyAlignment="1">
      <alignment horizontal="center"/>
    </xf>
    <xf numFmtId="0" fontId="3" fillId="16" borderId="0" xfId="0" applyFont="1" applyFill="1" applyAlignment="1">
      <alignment horizontal="center"/>
    </xf>
    <xf numFmtId="165" fontId="3" fillId="16" borderId="0" xfId="0" applyNumberFormat="1" applyFont="1" applyFill="1" applyAlignment="1">
      <alignment horizontal="center"/>
    </xf>
    <xf numFmtId="44" fontId="3" fillId="17" borderId="0" xfId="0" applyNumberFormat="1" applyFont="1" applyFill="1"/>
    <xf numFmtId="0" fontId="3" fillId="0" borderId="0" xfId="3" applyFont="1"/>
    <xf numFmtId="0" fontId="2" fillId="0" borderId="0" xfId="3"/>
    <xf numFmtId="0" fontId="2" fillId="0" borderId="0" xfId="3" applyAlignment="1">
      <alignment horizontal="left"/>
    </xf>
    <xf numFmtId="0" fontId="2" fillId="0" borderId="0" xfId="3" quotePrefix="1" applyAlignment="1">
      <alignment horizontal="left"/>
    </xf>
    <xf numFmtId="164" fontId="2" fillId="0" borderId="0" xfId="3" applyNumberFormat="1" applyAlignment="1">
      <alignment horizontal="right"/>
    </xf>
    <xf numFmtId="0" fontId="3" fillId="0" borderId="0" xfId="3" applyFont="1" applyAlignment="1">
      <alignment horizontal="left"/>
    </xf>
    <xf numFmtId="2" fontId="3" fillId="0" borderId="0" xfId="3" applyNumberFormat="1" applyFont="1" applyAlignment="1">
      <alignment horizontal="right"/>
    </xf>
    <xf numFmtId="165" fontId="3" fillId="0" borderId="0" xfId="3" applyNumberFormat="1" applyFont="1" applyAlignment="1">
      <alignment horizontal="left"/>
    </xf>
    <xf numFmtId="2" fontId="2" fillId="0" borderId="0" xfId="3" applyNumberFormat="1" applyAlignment="1">
      <alignment horizontal="right"/>
    </xf>
    <xf numFmtId="164" fontId="3" fillId="0" borderId="0" xfId="3" applyNumberFormat="1" applyFont="1" applyAlignment="1">
      <alignment horizontal="right"/>
    </xf>
    <xf numFmtId="0" fontId="2" fillId="0" borderId="0" xfId="3" quotePrefix="1"/>
    <xf numFmtId="2" fontId="2" fillId="0" borderId="0" xfId="3" applyNumberFormat="1"/>
    <xf numFmtId="165" fontId="2" fillId="0" borderId="0" xfId="3" applyNumberFormat="1" applyAlignment="1">
      <alignment horizontal="right"/>
    </xf>
    <xf numFmtId="165" fontId="3" fillId="0" borderId="0" xfId="3" applyNumberFormat="1" applyFont="1" applyAlignment="1">
      <alignment horizontal="right"/>
    </xf>
    <xf numFmtId="0" fontId="2" fillId="11" borderId="0" xfId="3" applyFill="1" applyAlignment="1">
      <alignment horizontal="left"/>
    </xf>
    <xf numFmtId="164" fontId="2" fillId="11" borderId="0" xfId="3" applyNumberFormat="1" applyFill="1" applyAlignment="1">
      <alignment horizontal="right"/>
    </xf>
    <xf numFmtId="165" fontId="2" fillId="11" borderId="0" xfId="3" applyNumberFormat="1" applyFill="1" applyAlignment="1">
      <alignment horizontal="right"/>
    </xf>
    <xf numFmtId="0" fontId="2" fillId="11" borderId="0" xfId="3" quotePrefix="1" applyFill="1" applyAlignment="1">
      <alignment horizontal="left"/>
    </xf>
    <xf numFmtId="0" fontId="2" fillId="2" borderId="0" xfId="3" applyFill="1" applyAlignment="1">
      <alignment horizontal="left"/>
    </xf>
    <xf numFmtId="0" fontId="2" fillId="2" borderId="0" xfId="3" quotePrefix="1" applyFill="1" applyAlignment="1">
      <alignment horizontal="left"/>
    </xf>
    <xf numFmtId="164" fontId="2" fillId="2" borderId="0" xfId="3" applyNumberFormat="1" applyFill="1" applyAlignment="1">
      <alignment horizontal="right"/>
    </xf>
    <xf numFmtId="165" fontId="2" fillId="2" borderId="0" xfId="3" applyNumberFormat="1" applyFill="1" applyAlignment="1">
      <alignment horizontal="right"/>
    </xf>
    <xf numFmtId="0" fontId="2" fillId="3" borderId="0" xfId="3" applyFill="1" applyAlignment="1">
      <alignment horizontal="left"/>
    </xf>
    <xf numFmtId="0" fontId="2" fillId="3" borderId="0" xfId="3" quotePrefix="1" applyFill="1" applyAlignment="1">
      <alignment horizontal="left"/>
    </xf>
    <xf numFmtId="164" fontId="2" fillId="3" borderId="0" xfId="3" applyNumberFormat="1" applyFill="1" applyAlignment="1">
      <alignment horizontal="right"/>
    </xf>
    <xf numFmtId="165" fontId="2" fillId="3" borderId="0" xfId="3" applyNumberFormat="1" applyFill="1" applyAlignment="1">
      <alignment horizontal="right"/>
    </xf>
    <xf numFmtId="0" fontId="2" fillId="2" borderId="0" xfId="3" applyFill="1"/>
    <xf numFmtId="0" fontId="2" fillId="2" borderId="0" xfId="3" quotePrefix="1" applyFill="1"/>
    <xf numFmtId="2" fontId="2" fillId="2" borderId="0" xfId="3" applyNumberFormat="1" applyFill="1"/>
    <xf numFmtId="0" fontId="2" fillId="5" borderId="0" xfId="3" applyFill="1" applyAlignment="1">
      <alignment horizontal="left"/>
    </xf>
    <xf numFmtId="164" fontId="2" fillId="5" borderId="0" xfId="3" applyNumberFormat="1" applyFill="1" applyAlignment="1">
      <alignment horizontal="right"/>
    </xf>
    <xf numFmtId="165" fontId="2" fillId="5" borderId="0" xfId="3" applyNumberFormat="1" applyFill="1" applyAlignment="1">
      <alignment horizontal="right"/>
    </xf>
    <xf numFmtId="0" fontId="3" fillId="0" borderId="0" xfId="3" applyFont="1" applyAlignment="1">
      <alignment horizontal="right"/>
    </xf>
    <xf numFmtId="0" fontId="0" fillId="0" borderId="0" xfId="0" applyAlignment="1">
      <alignment horizontal="right"/>
    </xf>
    <xf numFmtId="0" fontId="2" fillId="18" borderId="0" xfId="3" applyFill="1"/>
    <xf numFmtId="0" fontId="7" fillId="0" borderId="0" xfId="0" applyFont="1" applyAlignment="1">
      <alignment vertical="center"/>
    </xf>
    <xf numFmtId="0" fontId="7" fillId="0" borderId="0" xfId="0" applyFont="1"/>
    <xf numFmtId="165" fontId="2" fillId="16" borderId="0" xfId="0" applyNumberFormat="1" applyFont="1" applyFill="1" applyAlignment="1">
      <alignment horizontal="left"/>
    </xf>
    <xf numFmtId="165" fontId="2" fillId="16" borderId="0" xfId="0" applyNumberFormat="1" applyFont="1" applyFill="1" applyAlignment="1">
      <alignment horizontal="right"/>
    </xf>
    <xf numFmtId="0" fontId="2" fillId="16" borderId="0" xfId="0" applyFont="1" applyFill="1" applyAlignment="1">
      <alignment horizontal="right"/>
    </xf>
    <xf numFmtId="0" fontId="2" fillId="19" borderId="0" xfId="3" applyFill="1" applyAlignment="1">
      <alignment horizontal="left"/>
    </xf>
    <xf numFmtId="0" fontId="2" fillId="19" borderId="0" xfId="3" quotePrefix="1" applyFill="1" applyAlignment="1">
      <alignment horizontal="left"/>
    </xf>
    <xf numFmtId="164" fontId="2" fillId="19" borderId="0" xfId="3" applyNumberFormat="1" applyFill="1" applyAlignment="1">
      <alignment horizontal="right"/>
    </xf>
    <xf numFmtId="165" fontId="2" fillId="19" borderId="0" xfId="3" applyNumberFormat="1" applyFill="1" applyAlignment="1">
      <alignment horizontal="right"/>
    </xf>
    <xf numFmtId="165" fontId="3" fillId="19" borderId="0" xfId="0" applyNumberFormat="1" applyFont="1" applyFill="1" applyAlignment="1">
      <alignment horizontal="center"/>
    </xf>
    <xf numFmtId="0" fontId="2" fillId="0" borderId="0" xfId="3" applyAlignment="1">
      <alignment horizontal="right"/>
    </xf>
    <xf numFmtId="0" fontId="2" fillId="8" borderId="0" xfId="3" applyFill="1" applyAlignment="1">
      <alignment horizontal="left"/>
    </xf>
    <xf numFmtId="0" fontId="2" fillId="8" borderId="0" xfId="3" quotePrefix="1" applyFill="1" applyAlignment="1">
      <alignment horizontal="left"/>
    </xf>
    <xf numFmtId="164" fontId="2" fillId="8" borderId="0" xfId="3" applyNumberFormat="1" applyFill="1" applyAlignment="1">
      <alignment horizontal="right"/>
    </xf>
    <xf numFmtId="165" fontId="2" fillId="8" borderId="0" xfId="3" applyNumberFormat="1" applyFill="1" applyAlignment="1">
      <alignment horizontal="right"/>
    </xf>
    <xf numFmtId="0" fontId="2" fillId="16" borderId="0" xfId="3" applyFill="1" applyAlignment="1">
      <alignment horizontal="left"/>
    </xf>
    <xf numFmtId="0" fontId="2" fillId="16" borderId="0" xfId="3" quotePrefix="1" applyFill="1" applyAlignment="1">
      <alignment horizontal="left"/>
    </xf>
    <xf numFmtId="164" fontId="2" fillId="16" borderId="0" xfId="3" applyNumberFormat="1" applyFill="1" applyAlignment="1">
      <alignment horizontal="right"/>
    </xf>
    <xf numFmtId="165" fontId="2" fillId="16" borderId="0" xfId="3" applyNumberFormat="1" applyFill="1" applyAlignment="1">
      <alignment horizontal="right"/>
    </xf>
    <xf numFmtId="165" fontId="0" fillId="8" borderId="0" xfId="0" applyNumberFormat="1" applyFill="1" applyAlignment="1">
      <alignment horizontal="center"/>
    </xf>
    <xf numFmtId="165" fontId="0" fillId="20" borderId="0" xfId="0" applyNumberFormat="1" applyFill="1" applyAlignment="1">
      <alignment horizontal="left"/>
    </xf>
    <xf numFmtId="165" fontId="0" fillId="20" borderId="0" xfId="0" applyNumberFormat="1" applyFill="1" applyAlignment="1">
      <alignment horizontal="right"/>
    </xf>
    <xf numFmtId="0" fontId="2" fillId="21" borderId="0" xfId="3" applyFill="1" applyAlignment="1">
      <alignment horizontal="left"/>
    </xf>
    <xf numFmtId="0" fontId="2" fillId="21" borderId="0" xfId="3" quotePrefix="1" applyFill="1" applyAlignment="1">
      <alignment horizontal="left"/>
    </xf>
    <xf numFmtId="164" fontId="2" fillId="21" borderId="0" xfId="3" applyNumberFormat="1" applyFill="1" applyAlignment="1">
      <alignment horizontal="right"/>
    </xf>
    <xf numFmtId="165" fontId="2" fillId="21" borderId="0" xfId="3" applyNumberFormat="1" applyFill="1" applyAlignment="1">
      <alignment horizontal="right"/>
    </xf>
    <xf numFmtId="0" fontId="0" fillId="20" borderId="0" xfId="0" applyFill="1" applyAlignment="1">
      <alignment horizontal="right"/>
    </xf>
    <xf numFmtId="165" fontId="0" fillId="0" borderId="0" xfId="0" applyNumberFormat="1" applyAlignment="1">
      <alignment horizontal="left"/>
    </xf>
    <xf numFmtId="0" fontId="2" fillId="22" borderId="0" xfId="3" applyFill="1" applyAlignment="1">
      <alignment horizontal="left"/>
    </xf>
    <xf numFmtId="0" fontId="2" fillId="22" borderId="0" xfId="3" quotePrefix="1" applyFill="1" applyAlignment="1">
      <alignment horizontal="left"/>
    </xf>
    <xf numFmtId="164" fontId="2" fillId="22" borderId="0" xfId="3" applyNumberFormat="1" applyFill="1" applyAlignment="1">
      <alignment horizontal="right"/>
    </xf>
    <xf numFmtId="165" fontId="2" fillId="22" borderId="0" xfId="3" applyNumberFormat="1" applyFill="1" applyAlignment="1">
      <alignment horizontal="right"/>
    </xf>
    <xf numFmtId="0" fontId="2" fillId="9" borderId="0" xfId="3" applyFill="1" applyAlignment="1">
      <alignment horizontal="left"/>
    </xf>
    <xf numFmtId="0" fontId="2" fillId="9" borderId="0" xfId="3" quotePrefix="1" applyFill="1" applyAlignment="1">
      <alignment horizontal="left"/>
    </xf>
    <xf numFmtId="164" fontId="2" fillId="9" borderId="0" xfId="3" applyNumberFormat="1" applyFill="1" applyAlignment="1">
      <alignment horizontal="right"/>
    </xf>
    <xf numFmtId="165" fontId="2" fillId="9" borderId="0" xfId="3" applyNumberFormat="1" applyFill="1" applyAlignment="1">
      <alignment horizontal="right"/>
    </xf>
    <xf numFmtId="39" fontId="2" fillId="0" borderId="0" xfId="3" applyNumberFormat="1"/>
    <xf numFmtId="7" fontId="2" fillId="0" borderId="0" xfId="3" applyNumberFormat="1"/>
    <xf numFmtId="0" fontId="2" fillId="23" borderId="0" xfId="3" applyFill="1" applyAlignment="1">
      <alignment horizontal="left"/>
    </xf>
    <xf numFmtId="0" fontId="2" fillId="23" borderId="0" xfId="3" quotePrefix="1" applyFill="1" applyAlignment="1">
      <alignment horizontal="left"/>
    </xf>
    <xf numFmtId="164" fontId="2" fillId="23" borderId="0" xfId="3" applyNumberFormat="1" applyFill="1" applyAlignment="1">
      <alignment horizontal="right"/>
    </xf>
    <xf numFmtId="165" fontId="2" fillId="23" borderId="0" xfId="3" applyNumberFormat="1" applyFill="1" applyAlignment="1">
      <alignment horizontal="right"/>
    </xf>
    <xf numFmtId="0" fontId="6" fillId="0" borderId="0" xfId="0" applyFont="1"/>
    <xf numFmtId="165" fontId="2" fillId="0" borderId="0" xfId="3" applyNumberFormat="1" applyAlignment="1">
      <alignment horizontal="left"/>
    </xf>
    <xf numFmtId="165" fontId="2" fillId="3" borderId="0" xfId="3" applyNumberFormat="1" applyFill="1" applyAlignment="1">
      <alignment horizontal="left"/>
    </xf>
    <xf numFmtId="165" fontId="2" fillId="2" borderId="0" xfId="3" applyNumberFormat="1" applyFill="1" applyAlignment="1">
      <alignment horizontal="left"/>
    </xf>
    <xf numFmtId="167" fontId="2" fillId="0" borderId="0" xfId="0" applyNumberFormat="1" applyFont="1" applyAlignment="1">
      <alignment horizontal="right"/>
    </xf>
    <xf numFmtId="0" fontId="3" fillId="0" borderId="0" xfId="0" applyFont="1" applyAlignment="1">
      <alignment horizontal="left"/>
    </xf>
    <xf numFmtId="2" fontId="3" fillId="0" borderId="0" xfId="0" applyNumberFormat="1" applyFont="1" applyAlignment="1">
      <alignment horizontal="right"/>
    </xf>
    <xf numFmtId="165" fontId="3" fillId="0" borderId="0" xfId="0" applyNumberFormat="1" applyFont="1" applyAlignment="1">
      <alignment horizontal="left"/>
    </xf>
    <xf numFmtId="164" fontId="3" fillId="0" borderId="0" xfId="0" applyNumberFormat="1" applyFont="1" applyAlignment="1">
      <alignment horizontal="right"/>
    </xf>
    <xf numFmtId="2" fontId="3" fillId="0" borderId="0" xfId="0" applyNumberFormat="1" applyFont="1"/>
    <xf numFmtId="44" fontId="3" fillId="0" borderId="0" xfId="2" applyFont="1" applyAlignment="1">
      <alignment horizontal="left"/>
    </xf>
    <xf numFmtId="0" fontId="2" fillId="0" borderId="0" xfId="0" quotePrefix="1" applyFont="1" applyAlignment="1">
      <alignment horizontal="left"/>
    </xf>
    <xf numFmtId="44" fontId="3" fillId="0" borderId="0" xfId="1" applyFont="1" applyFill="1" applyBorder="1" applyAlignment="1" applyProtection="1">
      <alignment horizontal="left"/>
    </xf>
    <xf numFmtId="0" fontId="2" fillId="2" borderId="0" xfId="0" applyFont="1" applyFill="1" applyAlignment="1">
      <alignment horizontal="left"/>
    </xf>
    <xf numFmtId="0" fontId="2" fillId="2" borderId="0" xfId="0" quotePrefix="1" applyFont="1" applyFill="1" applyAlignment="1">
      <alignment horizontal="left"/>
    </xf>
    <xf numFmtId="164" fontId="2" fillId="2" borderId="0" xfId="0" applyNumberFormat="1" applyFont="1" applyFill="1" applyAlignment="1">
      <alignment horizontal="right"/>
    </xf>
    <xf numFmtId="165" fontId="2" fillId="2" borderId="0" xfId="0" applyNumberFormat="1" applyFont="1" applyFill="1" applyAlignment="1">
      <alignment horizontal="left"/>
    </xf>
    <xf numFmtId="0" fontId="2" fillId="6" borderId="0" xfId="0" applyFont="1" applyFill="1" applyAlignment="1">
      <alignment horizontal="left"/>
    </xf>
    <xf numFmtId="164" fontId="2" fillId="6" borderId="0" xfId="0" applyNumberFormat="1" applyFont="1" applyFill="1" applyAlignment="1">
      <alignment horizontal="right"/>
    </xf>
    <xf numFmtId="165" fontId="2" fillId="6" borderId="0" xfId="0" applyNumberFormat="1" applyFont="1" applyFill="1" applyAlignment="1">
      <alignment horizontal="left"/>
    </xf>
    <xf numFmtId="0" fontId="2" fillId="4" borderId="0" xfId="0" applyFont="1" applyFill="1" applyAlignment="1">
      <alignment horizontal="left"/>
    </xf>
    <xf numFmtId="164" fontId="2" fillId="4" borderId="0" xfId="0" applyNumberFormat="1" applyFont="1" applyFill="1" applyAlignment="1">
      <alignment horizontal="right"/>
    </xf>
    <xf numFmtId="165" fontId="2" fillId="4" borderId="0" xfId="0" applyNumberFormat="1" applyFont="1" applyFill="1" applyAlignment="1">
      <alignment horizontal="left"/>
    </xf>
    <xf numFmtId="0" fontId="2" fillId="3" borderId="0" xfId="0" applyFont="1" applyFill="1" applyAlignment="1">
      <alignment horizontal="left"/>
    </xf>
    <xf numFmtId="0" fontId="2" fillId="3" borderId="0" xfId="0" quotePrefix="1" applyFont="1" applyFill="1" applyAlignment="1">
      <alignment horizontal="left"/>
    </xf>
    <xf numFmtId="164" fontId="2" fillId="3" borderId="0" xfId="0" applyNumberFormat="1" applyFont="1" applyFill="1" applyAlignment="1">
      <alignment horizontal="right"/>
    </xf>
    <xf numFmtId="165" fontId="2" fillId="3" borderId="0" xfId="0" applyNumberFormat="1" applyFont="1" applyFill="1" applyAlignment="1">
      <alignment horizontal="left"/>
    </xf>
    <xf numFmtId="0" fontId="2" fillId="5" borderId="0" xfId="0" applyFont="1" applyFill="1" applyAlignment="1">
      <alignment horizontal="left"/>
    </xf>
    <xf numFmtId="164" fontId="2" fillId="5" borderId="0" xfId="0" applyNumberFormat="1" applyFont="1" applyFill="1" applyAlignment="1">
      <alignment horizontal="right"/>
    </xf>
    <xf numFmtId="165" fontId="2" fillId="5" borderId="0" xfId="0" applyNumberFormat="1" applyFont="1" applyFill="1" applyAlignment="1">
      <alignment horizontal="left"/>
    </xf>
    <xf numFmtId="164" fontId="3" fillId="0" borderId="0" xfId="0" applyNumberFormat="1" applyFont="1"/>
    <xf numFmtId="0" fontId="8" fillId="0" borderId="0" xfId="0" applyFont="1"/>
    <xf numFmtId="0" fontId="9" fillId="0" borderId="0" xfId="0" applyFont="1"/>
    <xf numFmtId="0" fontId="8" fillId="2" borderId="0" xfId="0" applyFont="1" applyFill="1" applyAlignment="1">
      <alignment horizontal="center"/>
    </xf>
    <xf numFmtId="0" fontId="8" fillId="8" borderId="0" xfId="0" applyFont="1" applyFill="1" applyAlignment="1">
      <alignment horizontal="center"/>
    </xf>
    <xf numFmtId="0" fontId="8" fillId="3" borderId="0" xfId="0" applyFont="1" applyFill="1" applyAlignment="1">
      <alignment horizontal="center"/>
    </xf>
    <xf numFmtId="0" fontId="8" fillId="16" borderId="0" xfId="0" applyFont="1" applyFill="1" applyAlignment="1">
      <alignment horizontal="center"/>
    </xf>
    <xf numFmtId="0" fontId="8" fillId="5" borderId="0" xfId="0" applyFont="1" applyFill="1" applyAlignment="1">
      <alignment horizontal="center"/>
    </xf>
    <xf numFmtId="8" fontId="9" fillId="0" borderId="0" xfId="0" applyNumberFormat="1" applyFont="1"/>
    <xf numFmtId="166" fontId="8" fillId="2" borderId="0" xfId="0" applyNumberFormat="1" applyFont="1" applyFill="1" applyAlignment="1">
      <alignment horizontal="center"/>
    </xf>
    <xf numFmtId="165" fontId="8" fillId="8" borderId="0" xfId="0" applyNumberFormat="1" applyFont="1" applyFill="1" applyAlignment="1">
      <alignment horizontal="center"/>
    </xf>
    <xf numFmtId="165" fontId="8" fillId="3" borderId="0" xfId="0" applyNumberFormat="1" applyFont="1" applyFill="1" applyAlignment="1">
      <alignment horizontal="center"/>
    </xf>
    <xf numFmtId="165" fontId="8" fillId="19" borderId="0" xfId="0" applyNumberFormat="1" applyFont="1" applyFill="1" applyAlignment="1">
      <alignment horizontal="center"/>
    </xf>
    <xf numFmtId="166" fontId="8" fillId="5" borderId="0" xfId="0" applyNumberFormat="1" applyFont="1" applyFill="1" applyAlignment="1">
      <alignment horizontal="center"/>
    </xf>
    <xf numFmtId="0" fontId="9" fillId="0" borderId="0" xfId="0" applyFont="1" applyAlignment="1">
      <alignment horizontal="center"/>
    </xf>
    <xf numFmtId="0" fontId="8" fillId="0" borderId="0" xfId="0" applyFont="1" applyAlignment="1">
      <alignment horizontal="center"/>
    </xf>
    <xf numFmtId="0" fontId="9" fillId="24" borderId="0" xfId="0" applyFont="1" applyFill="1"/>
    <xf numFmtId="8" fontId="9" fillId="24" borderId="0" xfId="0" applyNumberFormat="1" applyFont="1" applyFill="1"/>
    <xf numFmtId="0" fontId="10" fillId="0" borderId="0" xfId="0" applyFont="1" applyAlignment="1">
      <alignment vertical="center"/>
    </xf>
    <xf numFmtId="0" fontId="10" fillId="0" borderId="0" xfId="0" applyFont="1"/>
    <xf numFmtId="8" fontId="8" fillId="0" borderId="0" xfId="0" applyNumberFormat="1" applyFont="1"/>
    <xf numFmtId="0" fontId="9" fillId="3" borderId="0" xfId="0" applyFont="1" applyFill="1"/>
    <xf numFmtId="8" fontId="9" fillId="3" borderId="0" xfId="0" applyNumberFormat="1" applyFont="1" applyFill="1"/>
    <xf numFmtId="0" fontId="9" fillId="2" borderId="0" xfId="0" applyFont="1" applyFill="1"/>
    <xf numFmtId="8" fontId="9" fillId="2" borderId="0" xfId="0" applyNumberFormat="1" applyFont="1" applyFill="1"/>
    <xf numFmtId="4" fontId="8" fillId="0" borderId="0" xfId="0" applyNumberFormat="1" applyFont="1"/>
    <xf numFmtId="0" fontId="8" fillId="0" borderId="0" xfId="0" applyFont="1" applyAlignment="1">
      <alignment horizontal="right"/>
    </xf>
    <xf numFmtId="8" fontId="9" fillId="0" borderId="0" xfId="0" applyNumberFormat="1" applyFont="1" applyAlignment="1">
      <alignment horizontal="right"/>
    </xf>
    <xf numFmtId="8" fontId="8" fillId="0" borderId="0" xfId="0" applyNumberFormat="1" applyFont="1" applyAlignment="1">
      <alignment horizontal="right"/>
    </xf>
    <xf numFmtId="0" fontId="9" fillId="0" borderId="0" xfId="0" applyFont="1" applyAlignment="1">
      <alignment horizontal="right"/>
    </xf>
    <xf numFmtId="4" fontId="8" fillId="0" borderId="0" xfId="0" applyNumberFormat="1" applyFont="1" applyAlignment="1">
      <alignment horizontal="right"/>
    </xf>
    <xf numFmtId="0" fontId="2" fillId="25" borderId="0" xfId="3" applyFill="1" applyAlignment="1">
      <alignment horizontal="left"/>
    </xf>
    <xf numFmtId="164" fontId="2" fillId="25" borderId="0" xfId="3" applyNumberFormat="1" applyFill="1" applyAlignment="1">
      <alignment horizontal="right"/>
    </xf>
    <xf numFmtId="165" fontId="2" fillId="25" borderId="0" xfId="3" applyNumberFormat="1" applyFill="1" applyAlignment="1">
      <alignment horizontal="right"/>
    </xf>
    <xf numFmtId="0" fontId="2" fillId="25" borderId="0" xfId="3" quotePrefix="1" applyFill="1" applyAlignment="1">
      <alignment horizontal="left"/>
    </xf>
    <xf numFmtId="0" fontId="11" fillId="0" borderId="0" xfId="0" applyFont="1"/>
    <xf numFmtId="165" fontId="2" fillId="0" borderId="0" xfId="3" applyNumberFormat="1" applyAlignment="1">
      <alignment horizontal="right" wrapText="1"/>
    </xf>
    <xf numFmtId="165" fontId="3" fillId="0" borderId="0" xfId="3" applyNumberFormat="1" applyFont="1" applyAlignment="1">
      <alignment horizontal="right" wrapText="1"/>
    </xf>
    <xf numFmtId="164" fontId="3" fillId="0" borderId="0" xfId="3" applyNumberFormat="1" applyFont="1" applyAlignment="1">
      <alignment horizontal="right" wrapText="1"/>
    </xf>
    <xf numFmtId="0" fontId="0" fillId="0" borderId="0" xfId="0" applyAlignment="1">
      <alignment horizontal="right" wrapText="1"/>
    </xf>
    <xf numFmtId="0" fontId="3" fillId="0" borderId="0" xfId="3" applyFont="1" applyAlignment="1">
      <alignment horizontal="right" vertical="top"/>
    </xf>
    <xf numFmtId="0" fontId="3" fillId="0" borderId="0" xfId="3" applyFont="1" applyAlignment="1">
      <alignment vertical="top"/>
    </xf>
    <xf numFmtId="0" fontId="3" fillId="0" borderId="0" xfId="3" applyFont="1" applyAlignment="1">
      <alignment vertical="top" wrapText="1"/>
    </xf>
    <xf numFmtId="0" fontId="2" fillId="24" borderId="0" xfId="3" applyFill="1" applyAlignment="1">
      <alignment horizontal="left"/>
    </xf>
    <xf numFmtId="0" fontId="2" fillId="24" borderId="0" xfId="3" quotePrefix="1" applyFill="1" applyAlignment="1">
      <alignment horizontal="left"/>
    </xf>
    <xf numFmtId="164" fontId="2" fillId="24" borderId="0" xfId="3" applyNumberFormat="1" applyFill="1" applyAlignment="1">
      <alignment horizontal="right"/>
    </xf>
    <xf numFmtId="165" fontId="2" fillId="24" borderId="0" xfId="3" applyNumberFormat="1" applyFill="1" applyAlignment="1">
      <alignment horizontal="right" wrapText="1"/>
    </xf>
    <xf numFmtId="165" fontId="2" fillId="2" borderId="0" xfId="3" applyNumberFormat="1" applyFill="1" applyAlignment="1">
      <alignment horizontal="right" wrapText="1"/>
    </xf>
    <xf numFmtId="165" fontId="2" fillId="5" borderId="0" xfId="3" applyNumberFormat="1" applyFill="1" applyAlignment="1">
      <alignment horizontal="right" wrapText="1"/>
    </xf>
    <xf numFmtId="168" fontId="0" fillId="0" borderId="0" xfId="0" applyNumberFormat="1"/>
    <xf numFmtId="0" fontId="2" fillId="26" borderId="0" xfId="3" applyFill="1" applyAlignment="1">
      <alignment horizontal="left"/>
    </xf>
    <xf numFmtId="164" fontId="2" fillId="26" borderId="0" xfId="3" applyNumberFormat="1" applyFill="1" applyAlignment="1">
      <alignment horizontal="right"/>
    </xf>
    <xf numFmtId="165" fontId="2" fillId="26" borderId="0" xfId="3" applyNumberFormat="1" applyFill="1" applyAlignment="1">
      <alignment horizontal="right"/>
    </xf>
    <xf numFmtId="0" fontId="2" fillId="0" borderId="0" xfId="0" applyFont="1" applyAlignment="1">
      <alignment horizontal="right"/>
    </xf>
    <xf numFmtId="0" fontId="3" fillId="0" borderId="0" xfId="0" applyFont="1" applyAlignment="1">
      <alignment horizontal="right"/>
    </xf>
    <xf numFmtId="8" fontId="2" fillId="0" borderId="0" xfId="0" applyNumberFormat="1" applyFont="1" applyAlignment="1">
      <alignment horizontal="right"/>
    </xf>
    <xf numFmtId="8" fontId="3" fillId="0" borderId="0" xfId="0" applyNumberFormat="1" applyFont="1" applyAlignment="1">
      <alignment horizontal="right"/>
    </xf>
    <xf numFmtId="0" fontId="2" fillId="2" borderId="0" xfId="0" applyFont="1" applyFill="1" applyAlignment="1">
      <alignment horizontal="right"/>
    </xf>
    <xf numFmtId="8" fontId="2" fillId="2" borderId="0" xfId="0" applyNumberFormat="1" applyFont="1" applyFill="1" applyAlignment="1">
      <alignment horizontal="right"/>
    </xf>
    <xf numFmtId="0" fontId="2" fillId="2" borderId="0" xfId="0" applyFont="1" applyFill="1"/>
    <xf numFmtId="0" fontId="2" fillId="5" borderId="0" xfId="0" applyFont="1" applyFill="1" applyAlignment="1">
      <alignment horizontal="right"/>
    </xf>
    <xf numFmtId="8" fontId="2" fillId="5" borderId="0" xfId="0" applyNumberFormat="1" applyFont="1" applyFill="1" applyAlignment="1">
      <alignment horizontal="right"/>
    </xf>
    <xf numFmtId="0" fontId="2" fillId="3" borderId="0" xfId="0" applyFont="1" applyFill="1" applyAlignment="1">
      <alignment horizontal="right"/>
    </xf>
    <xf numFmtId="8" fontId="2" fillId="3" borderId="0" xfId="0" applyNumberFormat="1" applyFont="1" applyFill="1" applyAlignment="1">
      <alignment horizontal="right"/>
    </xf>
    <xf numFmtId="0" fontId="12" fillId="0" borderId="0" xfId="0" applyFont="1"/>
    <xf numFmtId="165" fontId="2" fillId="24" borderId="0" xfId="3" applyNumberFormat="1" applyFill="1" applyAlignment="1">
      <alignment horizontal="left"/>
    </xf>
    <xf numFmtId="8" fontId="2" fillId="0" borderId="0" xfId="0" applyNumberFormat="1" applyFont="1"/>
    <xf numFmtId="8" fontId="3" fillId="0" borderId="0" xfId="0" applyNumberFormat="1" applyFont="1"/>
    <xf numFmtId="4" fontId="3" fillId="0" borderId="0" xfId="0" applyNumberFormat="1" applyFont="1"/>
    <xf numFmtId="8" fontId="2" fillId="2" borderId="0" xfId="0" applyNumberFormat="1" applyFont="1" applyFill="1"/>
    <xf numFmtId="0" fontId="2" fillId="24" borderId="0" xfId="0" applyFont="1" applyFill="1"/>
    <xf numFmtId="8" fontId="2" fillId="24" borderId="0" xfId="0" applyNumberFormat="1" applyFont="1" applyFill="1"/>
    <xf numFmtId="0" fontId="2" fillId="3" borderId="0" xfId="0" applyFont="1" applyFill="1"/>
    <xf numFmtId="8" fontId="2" fillId="3" borderId="0" xfId="0" applyNumberFormat="1" applyFont="1" applyFill="1"/>
    <xf numFmtId="0" fontId="13" fillId="0" borderId="0" xfId="0" applyFont="1"/>
    <xf numFmtId="0" fontId="6" fillId="0" borderId="0" xfId="0" applyFont="1" applyAlignment="1">
      <alignment vertical="center"/>
    </xf>
    <xf numFmtId="0" fontId="3" fillId="0" borderId="0" xfId="0" applyFont="1" applyAlignment="1">
      <alignment horizontal="center"/>
    </xf>
    <xf numFmtId="0" fontId="0" fillId="0" borderId="0" xfId="0" applyAlignment="1">
      <alignment horizontal="center"/>
    </xf>
    <xf numFmtId="0" fontId="3" fillId="2" borderId="0" xfId="0" applyFont="1" applyFill="1" applyAlignment="1">
      <alignment horizontal="center"/>
    </xf>
    <xf numFmtId="166" fontId="3" fillId="2" borderId="0" xfId="0" applyNumberFormat="1" applyFont="1" applyFill="1" applyAlignment="1">
      <alignment horizontal="center"/>
    </xf>
    <xf numFmtId="0" fontId="0" fillId="0" borderId="0" xfId="0"/>
    <xf numFmtId="0" fontId="2" fillId="0" borderId="0" xfId="3" applyAlignment="1">
      <alignment horizontal="center"/>
    </xf>
    <xf numFmtId="0" fontId="2" fillId="0" borderId="0" xfId="0" applyFont="1" applyAlignment="1">
      <alignment horizontal="left"/>
    </xf>
    <xf numFmtId="0" fontId="0" fillId="0" borderId="0" xfId="0" applyAlignment="1">
      <alignment horizontal="left"/>
    </xf>
    <xf numFmtId="0" fontId="9" fillId="0" borderId="0" xfId="0" applyFont="1" applyAlignment="1">
      <alignment horizontal="center" wrapText="1"/>
    </xf>
  </cellXfs>
  <cellStyles count="4">
    <cellStyle name="Currency" xfId="1" builtinId="4"/>
    <cellStyle name="Currency 2" xfId="2" xr:uid="{00000000-0005-0000-0000-000001000000}"/>
    <cellStyle name="Normal" xfId="0" builtinId="0"/>
    <cellStyle name="Normal 2" xfId="3" xr:uid="{00000000-0005-0000-0000-000003000000}"/>
  </cellStyles>
  <dxfs count="0"/>
  <tableStyles count="0" defaultTableStyle="TableStyleMedium2" defaultPivotStyle="PivotStyleLight16"/>
  <colors>
    <mruColors>
      <color rgb="FFFF05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9"/>
  <sheetViews>
    <sheetView topLeftCell="A22" workbookViewId="0">
      <selection activeCell="B59" sqref="B59"/>
    </sheetView>
  </sheetViews>
  <sheetFormatPr defaultRowHeight="12.75"/>
  <cols>
    <col min="1" max="1" width="21.140625" bestFit="1" customWidth="1"/>
    <col min="2" max="2" width="14" bestFit="1" customWidth="1"/>
    <col min="3" max="3" width="15.140625" bestFit="1" customWidth="1"/>
    <col min="4" max="4" width="33.140625" bestFit="1" customWidth="1"/>
    <col min="5" max="5" width="15.140625" bestFit="1" customWidth="1"/>
    <col min="6" max="6" width="24.85546875" bestFit="1" customWidth="1"/>
    <col min="7" max="7" width="22" bestFit="1" customWidth="1"/>
    <col min="8" max="9" width="10.140625" bestFit="1" customWidth="1"/>
  </cols>
  <sheetData>
    <row r="1" spans="1:8">
      <c r="A1" s="1" t="s">
        <v>0</v>
      </c>
      <c r="B1" s="1" t="s">
        <v>1</v>
      </c>
      <c r="C1" s="1" t="s">
        <v>2</v>
      </c>
      <c r="D1" s="1" t="s">
        <v>3</v>
      </c>
      <c r="E1" s="1" t="s">
        <v>4</v>
      </c>
      <c r="F1" s="1" t="s">
        <v>5</v>
      </c>
      <c r="G1" s="1" t="s">
        <v>6</v>
      </c>
      <c r="H1" s="1" t="s">
        <v>7</v>
      </c>
    </row>
    <row r="2" spans="1:8">
      <c r="A2" s="6" t="s">
        <v>8</v>
      </c>
      <c r="B2" s="203">
        <v>565.67999999999995</v>
      </c>
      <c r="C2" s="203">
        <v>16.55</v>
      </c>
      <c r="D2" s="6" t="s">
        <v>9</v>
      </c>
      <c r="E2" s="6" t="s">
        <v>10</v>
      </c>
      <c r="F2" s="8">
        <v>19.23</v>
      </c>
      <c r="G2" s="12">
        <f t="shared" ref="G2:G65" si="0">F2*1.5</f>
        <v>28.844999999999999</v>
      </c>
      <c r="H2" s="12">
        <f t="shared" ref="H2:H65" si="1">G2*C2</f>
        <v>477.38475</v>
      </c>
    </row>
    <row r="3" spans="1:8">
      <c r="A3" s="6" t="s">
        <v>11</v>
      </c>
      <c r="B3" s="203">
        <v>580.39</v>
      </c>
      <c r="C3" s="203">
        <v>8.69</v>
      </c>
      <c r="D3" s="6" t="s">
        <v>12</v>
      </c>
      <c r="E3" s="6" t="s">
        <v>10</v>
      </c>
      <c r="F3" s="8">
        <v>22.15</v>
      </c>
      <c r="G3" s="12">
        <f t="shared" si="0"/>
        <v>33.224999999999994</v>
      </c>
      <c r="H3" s="12">
        <f t="shared" si="1"/>
        <v>288.72524999999996</v>
      </c>
    </row>
    <row r="4" spans="1:8">
      <c r="A4" s="6" t="s">
        <v>13</v>
      </c>
      <c r="B4" s="203">
        <v>620.16999999999996</v>
      </c>
      <c r="C4" s="203">
        <v>64.91</v>
      </c>
      <c r="D4" s="6" t="s">
        <v>12</v>
      </c>
      <c r="E4" s="6" t="s">
        <v>10</v>
      </c>
      <c r="F4" s="8">
        <v>24.04</v>
      </c>
      <c r="G4" s="12">
        <f t="shared" si="0"/>
        <v>36.06</v>
      </c>
      <c r="H4" s="12">
        <f t="shared" si="1"/>
        <v>2340.6545999999998</v>
      </c>
    </row>
    <row r="5" spans="1:8">
      <c r="A5" s="6" t="s">
        <v>14</v>
      </c>
      <c r="B5" s="203">
        <v>498.69</v>
      </c>
      <c r="C5" s="203">
        <v>0.27</v>
      </c>
      <c r="D5" s="6" t="s">
        <v>15</v>
      </c>
      <c r="E5" s="6" t="s">
        <v>10</v>
      </c>
      <c r="F5" s="8">
        <v>17</v>
      </c>
      <c r="G5" s="12">
        <f t="shared" si="0"/>
        <v>25.5</v>
      </c>
      <c r="H5" s="12">
        <f t="shared" si="1"/>
        <v>6.8850000000000007</v>
      </c>
    </row>
    <row r="6" spans="1:8">
      <c r="A6" s="6" t="s">
        <v>16</v>
      </c>
      <c r="B6" s="203">
        <v>573.78</v>
      </c>
      <c r="C6" s="203">
        <v>0.98</v>
      </c>
      <c r="D6" s="6" t="s">
        <v>15</v>
      </c>
      <c r="E6" s="6" t="s">
        <v>10</v>
      </c>
      <c r="F6" s="8">
        <v>18.27</v>
      </c>
      <c r="G6" s="12">
        <f t="shared" si="0"/>
        <v>27.405000000000001</v>
      </c>
      <c r="H6" s="12">
        <f t="shared" si="1"/>
        <v>26.8569</v>
      </c>
    </row>
    <row r="7" spans="1:8">
      <c r="A7" s="6" t="s">
        <v>17</v>
      </c>
      <c r="B7" s="203">
        <v>539.86</v>
      </c>
      <c r="C7" s="203">
        <v>2.66</v>
      </c>
      <c r="D7" s="6" t="s">
        <v>15</v>
      </c>
      <c r="E7" s="6" t="s">
        <v>10</v>
      </c>
      <c r="F7" s="8">
        <v>15.5</v>
      </c>
      <c r="G7" s="12">
        <f t="shared" si="0"/>
        <v>23.25</v>
      </c>
      <c r="H7" s="12">
        <f t="shared" si="1"/>
        <v>61.845000000000006</v>
      </c>
    </row>
    <row r="8" spans="1:8">
      <c r="A8" s="6" t="s">
        <v>18</v>
      </c>
      <c r="B8" s="203">
        <v>595.16999999999996</v>
      </c>
      <c r="C8" s="203">
        <v>4.07</v>
      </c>
      <c r="D8" s="6" t="s">
        <v>15</v>
      </c>
      <c r="E8" s="6" t="s">
        <v>10</v>
      </c>
      <c r="F8" s="8">
        <v>18.559999999999999</v>
      </c>
      <c r="G8" s="12">
        <f t="shared" si="0"/>
        <v>27.839999999999996</v>
      </c>
      <c r="H8" s="12">
        <f t="shared" si="1"/>
        <v>113.30879999999999</v>
      </c>
    </row>
    <row r="9" spans="1:8">
      <c r="A9" s="6" t="s">
        <v>19</v>
      </c>
      <c r="B9" s="203">
        <v>599.70000000000005</v>
      </c>
      <c r="C9" s="203">
        <v>6.89</v>
      </c>
      <c r="D9" s="6" t="s">
        <v>15</v>
      </c>
      <c r="E9" s="6" t="s">
        <v>10</v>
      </c>
      <c r="F9" s="8">
        <v>19.899999999999999</v>
      </c>
      <c r="G9" s="12">
        <f t="shared" si="0"/>
        <v>29.849999999999998</v>
      </c>
      <c r="H9" s="12">
        <f t="shared" si="1"/>
        <v>205.66649999999998</v>
      </c>
    </row>
    <row r="10" spans="1:8">
      <c r="A10" s="6" t="s">
        <v>20</v>
      </c>
      <c r="B10" s="203">
        <v>579.76</v>
      </c>
      <c r="C10" s="203">
        <v>7.12</v>
      </c>
      <c r="D10" s="6" t="s">
        <v>15</v>
      </c>
      <c r="E10" s="6" t="s">
        <v>10</v>
      </c>
      <c r="F10" s="8">
        <v>16.5</v>
      </c>
      <c r="G10" s="12">
        <f t="shared" si="0"/>
        <v>24.75</v>
      </c>
      <c r="H10" s="12">
        <f t="shared" si="1"/>
        <v>176.22</v>
      </c>
    </row>
    <row r="11" spans="1:8">
      <c r="A11" s="6" t="s">
        <v>21</v>
      </c>
      <c r="B11" s="203">
        <v>561.6</v>
      </c>
      <c r="C11" s="203">
        <v>7.96</v>
      </c>
      <c r="D11" s="6" t="s">
        <v>15</v>
      </c>
      <c r="E11" s="6" t="s">
        <v>10</v>
      </c>
      <c r="F11" s="8">
        <v>21.43</v>
      </c>
      <c r="G11" s="12">
        <f t="shared" si="0"/>
        <v>32.144999999999996</v>
      </c>
      <c r="H11" s="12">
        <f t="shared" si="1"/>
        <v>255.87419999999997</v>
      </c>
    </row>
    <row r="12" spans="1:8">
      <c r="A12" s="6" t="s">
        <v>22</v>
      </c>
      <c r="B12" s="203">
        <v>594.66999999999996</v>
      </c>
      <c r="C12" s="203">
        <v>3.34</v>
      </c>
      <c r="D12" s="6" t="s">
        <v>23</v>
      </c>
      <c r="E12" s="6" t="s">
        <v>10</v>
      </c>
      <c r="F12" s="8">
        <v>20.3</v>
      </c>
      <c r="G12" s="12">
        <f t="shared" si="0"/>
        <v>30.450000000000003</v>
      </c>
      <c r="H12" s="12">
        <f t="shared" si="1"/>
        <v>101.703</v>
      </c>
    </row>
    <row r="13" spans="1:8">
      <c r="A13" s="6" t="s">
        <v>24</v>
      </c>
      <c r="B13" s="203">
        <v>595.83000000000004</v>
      </c>
      <c r="C13" s="203">
        <v>17.47</v>
      </c>
      <c r="D13" s="6" t="s">
        <v>25</v>
      </c>
      <c r="E13" s="6" t="s">
        <v>10</v>
      </c>
      <c r="F13" s="8">
        <v>17.5</v>
      </c>
      <c r="G13" s="12">
        <f t="shared" si="0"/>
        <v>26.25</v>
      </c>
      <c r="H13" s="12">
        <f t="shared" si="1"/>
        <v>458.58749999999998</v>
      </c>
    </row>
    <row r="14" spans="1:8">
      <c r="A14" s="6" t="s">
        <v>26</v>
      </c>
      <c r="B14" s="203">
        <v>579.70000000000005</v>
      </c>
      <c r="C14" s="203">
        <v>20.58</v>
      </c>
      <c r="D14" s="6" t="s">
        <v>25</v>
      </c>
      <c r="E14" s="6" t="s">
        <v>10</v>
      </c>
      <c r="F14" s="8">
        <v>18</v>
      </c>
      <c r="G14" s="12">
        <f t="shared" si="0"/>
        <v>27</v>
      </c>
      <c r="H14" s="12">
        <f t="shared" si="1"/>
        <v>555.66</v>
      </c>
    </row>
    <row r="15" spans="1:8">
      <c r="A15" s="6" t="s">
        <v>27</v>
      </c>
      <c r="B15" s="203">
        <v>604.45000000000005</v>
      </c>
      <c r="C15" s="203">
        <v>28.99</v>
      </c>
      <c r="D15" s="6" t="s">
        <v>25</v>
      </c>
      <c r="E15" s="6" t="s">
        <v>10</v>
      </c>
      <c r="F15" s="8">
        <v>17.25</v>
      </c>
      <c r="G15" s="12">
        <f t="shared" si="0"/>
        <v>25.875</v>
      </c>
      <c r="H15" s="12">
        <f t="shared" si="1"/>
        <v>750.11624999999992</v>
      </c>
    </row>
    <row r="16" spans="1:8">
      <c r="A16" s="6" t="s">
        <v>28</v>
      </c>
      <c r="B16" s="203">
        <v>309.52999999999997</v>
      </c>
      <c r="C16" s="203">
        <v>0.59</v>
      </c>
      <c r="D16" s="6" t="s">
        <v>29</v>
      </c>
      <c r="E16" s="6" t="s">
        <v>10</v>
      </c>
      <c r="F16" s="8">
        <v>17.25</v>
      </c>
      <c r="G16" s="12">
        <f t="shared" si="0"/>
        <v>25.875</v>
      </c>
      <c r="H16" s="12">
        <f t="shared" si="1"/>
        <v>15.266249999999999</v>
      </c>
    </row>
    <row r="17" spans="1:8">
      <c r="A17" s="6" t="s">
        <v>30</v>
      </c>
      <c r="B17" s="203">
        <v>423.2</v>
      </c>
      <c r="C17" s="203">
        <v>2.77</v>
      </c>
      <c r="D17" s="6" t="s">
        <v>31</v>
      </c>
      <c r="E17" s="6" t="s">
        <v>10</v>
      </c>
      <c r="F17" s="8">
        <v>17</v>
      </c>
      <c r="G17" s="12">
        <f t="shared" si="0"/>
        <v>25.5</v>
      </c>
      <c r="H17" s="12">
        <f t="shared" si="1"/>
        <v>70.635000000000005</v>
      </c>
    </row>
    <row r="18" spans="1:8">
      <c r="A18" s="6" t="s">
        <v>32</v>
      </c>
      <c r="B18" s="203">
        <v>563.25</v>
      </c>
      <c r="C18" s="203">
        <v>34.57</v>
      </c>
      <c r="D18" s="6" t="s">
        <v>31</v>
      </c>
      <c r="E18" s="6" t="s">
        <v>10</v>
      </c>
      <c r="F18" s="8">
        <v>19.809999999999999</v>
      </c>
      <c r="G18" s="12">
        <f t="shared" si="0"/>
        <v>29.714999999999996</v>
      </c>
      <c r="H18" s="12">
        <f t="shared" si="1"/>
        <v>1027.2475499999998</v>
      </c>
    </row>
    <row r="19" spans="1:8">
      <c r="A19" s="6" t="s">
        <v>33</v>
      </c>
      <c r="B19" s="203">
        <v>182.98</v>
      </c>
      <c r="C19" s="203">
        <v>1</v>
      </c>
      <c r="D19" s="6" t="s">
        <v>34</v>
      </c>
      <c r="E19" s="6" t="s">
        <v>10</v>
      </c>
      <c r="F19" s="8">
        <v>11.5</v>
      </c>
      <c r="G19" s="12">
        <f t="shared" si="0"/>
        <v>17.25</v>
      </c>
      <c r="H19" s="12">
        <f t="shared" si="1"/>
        <v>17.25</v>
      </c>
    </row>
    <row r="20" spans="1:8">
      <c r="A20" s="6" t="s">
        <v>35</v>
      </c>
      <c r="B20" s="203">
        <v>287.37</v>
      </c>
      <c r="C20" s="203">
        <v>38.450000000000003</v>
      </c>
      <c r="D20" s="6" t="s">
        <v>34</v>
      </c>
      <c r="E20" s="6" t="s">
        <v>10</v>
      </c>
      <c r="F20" s="8">
        <v>14.66</v>
      </c>
      <c r="G20" s="12">
        <f t="shared" si="0"/>
        <v>21.990000000000002</v>
      </c>
      <c r="H20" s="12">
        <f t="shared" si="1"/>
        <v>845.51550000000009</v>
      </c>
    </row>
    <row r="21" spans="1:8">
      <c r="A21" s="6" t="s">
        <v>36</v>
      </c>
      <c r="B21" s="203">
        <v>599.9</v>
      </c>
      <c r="C21" s="203">
        <v>65.099999999999994</v>
      </c>
      <c r="D21" s="6" t="s">
        <v>34</v>
      </c>
      <c r="E21" s="6" t="s">
        <v>10</v>
      </c>
      <c r="F21" s="8">
        <v>14</v>
      </c>
      <c r="G21" s="12">
        <f t="shared" si="0"/>
        <v>21</v>
      </c>
      <c r="H21" s="12">
        <f t="shared" si="1"/>
        <v>1367.1</v>
      </c>
    </row>
    <row r="22" spans="1:8">
      <c r="A22" s="6" t="s">
        <v>37</v>
      </c>
      <c r="B22" s="203">
        <v>580.70000000000005</v>
      </c>
      <c r="C22" s="203">
        <v>79.05</v>
      </c>
      <c r="D22" s="6" t="s">
        <v>34</v>
      </c>
      <c r="E22" s="6" t="s">
        <v>10</v>
      </c>
      <c r="F22" s="8">
        <v>14.18</v>
      </c>
      <c r="G22" s="12">
        <f t="shared" si="0"/>
        <v>21.27</v>
      </c>
      <c r="H22" s="12">
        <f t="shared" si="1"/>
        <v>1681.3934999999999</v>
      </c>
    </row>
    <row r="23" spans="1:8">
      <c r="A23" s="6" t="s">
        <v>38</v>
      </c>
      <c r="B23" s="203">
        <v>542.53</v>
      </c>
      <c r="C23" s="203">
        <v>112.06</v>
      </c>
      <c r="D23" s="6" t="s">
        <v>34</v>
      </c>
      <c r="E23" s="6" t="s">
        <v>10</v>
      </c>
      <c r="F23" s="8">
        <v>15.5</v>
      </c>
      <c r="G23" s="12">
        <f t="shared" si="0"/>
        <v>23.25</v>
      </c>
      <c r="H23" s="12">
        <f t="shared" si="1"/>
        <v>2605.395</v>
      </c>
    </row>
    <row r="24" spans="1:8">
      <c r="A24" s="6" t="s">
        <v>39</v>
      </c>
      <c r="B24" s="203">
        <v>553.32000000000005</v>
      </c>
      <c r="C24" s="203">
        <v>0.5</v>
      </c>
      <c r="D24" s="6" t="s">
        <v>40</v>
      </c>
      <c r="E24" s="6" t="s">
        <v>10</v>
      </c>
      <c r="F24" s="8">
        <v>14.71</v>
      </c>
      <c r="G24" s="12">
        <f t="shared" si="0"/>
        <v>22.065000000000001</v>
      </c>
      <c r="H24" s="12">
        <f t="shared" si="1"/>
        <v>11.032500000000001</v>
      </c>
    </row>
    <row r="25" spans="1:8">
      <c r="A25" s="6" t="s">
        <v>41</v>
      </c>
      <c r="B25" s="203">
        <v>593.35</v>
      </c>
      <c r="C25" s="203">
        <v>5.24</v>
      </c>
      <c r="D25" s="6" t="s">
        <v>40</v>
      </c>
      <c r="E25" s="6" t="s">
        <v>10</v>
      </c>
      <c r="F25" s="8">
        <v>15.75</v>
      </c>
      <c r="G25" s="12">
        <f t="shared" si="0"/>
        <v>23.625</v>
      </c>
      <c r="H25" s="12">
        <f t="shared" si="1"/>
        <v>123.795</v>
      </c>
    </row>
    <row r="26" spans="1:8">
      <c r="A26" s="6" t="s">
        <v>42</v>
      </c>
      <c r="B26" s="203">
        <v>588.13</v>
      </c>
      <c r="C26" s="203">
        <v>11.47</v>
      </c>
      <c r="D26" s="6" t="s">
        <v>43</v>
      </c>
      <c r="E26" s="6" t="s">
        <v>10</v>
      </c>
      <c r="F26" s="8">
        <v>19.5</v>
      </c>
      <c r="G26" s="12">
        <f t="shared" si="0"/>
        <v>29.25</v>
      </c>
      <c r="H26" s="12">
        <f t="shared" si="1"/>
        <v>335.4975</v>
      </c>
    </row>
    <row r="27" spans="1:8">
      <c r="A27" s="6" t="s">
        <v>44</v>
      </c>
      <c r="B27" s="203">
        <v>137.44999999999999</v>
      </c>
      <c r="C27" s="203">
        <v>0.15</v>
      </c>
      <c r="D27" s="6" t="s">
        <v>45</v>
      </c>
      <c r="E27" s="6" t="s">
        <v>10</v>
      </c>
      <c r="F27" s="8">
        <v>12</v>
      </c>
      <c r="G27" s="12">
        <f t="shared" si="0"/>
        <v>18</v>
      </c>
      <c r="H27" s="12">
        <f t="shared" si="1"/>
        <v>2.6999999999999997</v>
      </c>
    </row>
    <row r="28" spans="1:8">
      <c r="A28" s="6" t="s">
        <v>46</v>
      </c>
      <c r="B28" s="203">
        <v>217.3</v>
      </c>
      <c r="C28" s="203">
        <v>0.56999999999999995</v>
      </c>
      <c r="D28" s="6" t="s">
        <v>45</v>
      </c>
      <c r="E28" s="6" t="s">
        <v>10</v>
      </c>
      <c r="F28" s="8">
        <v>11.5</v>
      </c>
      <c r="G28" s="12">
        <f t="shared" si="0"/>
        <v>17.25</v>
      </c>
      <c r="H28" s="12">
        <f t="shared" si="1"/>
        <v>9.8324999999999996</v>
      </c>
    </row>
    <row r="29" spans="1:8">
      <c r="A29" s="6" t="s">
        <v>47</v>
      </c>
      <c r="B29" s="203">
        <v>362.43</v>
      </c>
      <c r="C29" s="203">
        <v>20.79</v>
      </c>
      <c r="D29" s="6" t="s">
        <v>45</v>
      </c>
      <c r="E29" s="6" t="s">
        <v>10</v>
      </c>
      <c r="F29" s="8">
        <v>12</v>
      </c>
      <c r="G29" s="12">
        <f t="shared" si="0"/>
        <v>18</v>
      </c>
      <c r="H29" s="12">
        <f t="shared" si="1"/>
        <v>374.21999999999997</v>
      </c>
    </row>
    <row r="30" spans="1:8">
      <c r="A30" s="6" t="s">
        <v>48</v>
      </c>
      <c r="B30" s="203">
        <v>305.58</v>
      </c>
      <c r="C30" s="203">
        <v>34.549999999999997</v>
      </c>
      <c r="D30" s="6" t="s">
        <v>45</v>
      </c>
      <c r="E30" s="6" t="s">
        <v>10</v>
      </c>
      <c r="F30" s="8">
        <v>11.25</v>
      </c>
      <c r="G30" s="12">
        <f t="shared" si="0"/>
        <v>16.875</v>
      </c>
      <c r="H30" s="12">
        <f t="shared" si="1"/>
        <v>583.03125</v>
      </c>
    </row>
    <row r="31" spans="1:8">
      <c r="A31" s="6" t="s">
        <v>49</v>
      </c>
      <c r="B31" s="203">
        <v>564.96</v>
      </c>
      <c r="C31" s="203">
        <v>35.07</v>
      </c>
      <c r="D31" s="6" t="s">
        <v>45</v>
      </c>
      <c r="E31" s="6" t="s">
        <v>10</v>
      </c>
      <c r="F31" s="8">
        <v>14</v>
      </c>
      <c r="G31" s="12">
        <f t="shared" si="0"/>
        <v>21</v>
      </c>
      <c r="H31" s="12">
        <f t="shared" si="1"/>
        <v>736.47</v>
      </c>
    </row>
    <row r="32" spans="1:8">
      <c r="A32" s="6" t="s">
        <v>50</v>
      </c>
      <c r="B32" s="203">
        <v>454.23</v>
      </c>
      <c r="C32" s="203">
        <v>0.38</v>
      </c>
      <c r="D32" s="6" t="s">
        <v>51</v>
      </c>
      <c r="E32" s="6" t="s">
        <v>10</v>
      </c>
      <c r="F32" s="8">
        <v>11</v>
      </c>
      <c r="G32" s="12">
        <f t="shared" si="0"/>
        <v>16.5</v>
      </c>
      <c r="H32" s="12">
        <f t="shared" si="1"/>
        <v>6.2700000000000005</v>
      </c>
    </row>
    <row r="33" spans="1:8">
      <c r="A33" s="6" t="s">
        <v>52</v>
      </c>
      <c r="B33" s="203">
        <v>614.79999999999995</v>
      </c>
      <c r="C33" s="203">
        <v>32.69</v>
      </c>
      <c r="D33" s="6" t="s">
        <v>51</v>
      </c>
      <c r="E33" s="6" t="s">
        <v>10</v>
      </c>
      <c r="F33" s="8">
        <v>14.5</v>
      </c>
      <c r="G33" s="12">
        <f t="shared" si="0"/>
        <v>21.75</v>
      </c>
      <c r="H33" s="12">
        <f t="shared" si="1"/>
        <v>711.00749999999994</v>
      </c>
    </row>
    <row r="34" spans="1:8">
      <c r="A34" s="6" t="s">
        <v>53</v>
      </c>
      <c r="B34" s="203">
        <v>191.81</v>
      </c>
      <c r="C34" s="203">
        <v>4.57</v>
      </c>
      <c r="D34" s="6" t="s">
        <v>54</v>
      </c>
      <c r="E34" s="6" t="s">
        <v>10</v>
      </c>
      <c r="F34" s="8">
        <v>14.5</v>
      </c>
      <c r="G34" s="12">
        <f t="shared" si="0"/>
        <v>21.75</v>
      </c>
      <c r="H34" s="12">
        <f t="shared" si="1"/>
        <v>99.397500000000008</v>
      </c>
    </row>
    <row r="35" spans="1:8">
      <c r="A35" s="6" t="s">
        <v>55</v>
      </c>
      <c r="B35" s="203">
        <v>353.13</v>
      </c>
      <c r="C35" s="203">
        <v>17.98</v>
      </c>
      <c r="D35" s="6" t="s">
        <v>54</v>
      </c>
      <c r="E35" s="6" t="s">
        <v>10</v>
      </c>
      <c r="F35" s="8">
        <v>14.5</v>
      </c>
      <c r="G35" s="12">
        <f t="shared" si="0"/>
        <v>21.75</v>
      </c>
      <c r="H35" s="12">
        <f t="shared" si="1"/>
        <v>391.065</v>
      </c>
    </row>
    <row r="36" spans="1:8">
      <c r="A36" s="6" t="s">
        <v>56</v>
      </c>
      <c r="B36" s="203">
        <v>538.32000000000005</v>
      </c>
      <c r="C36" s="203">
        <v>42.51</v>
      </c>
      <c r="D36" s="6" t="s">
        <v>54</v>
      </c>
      <c r="E36" s="6" t="s">
        <v>10</v>
      </c>
      <c r="F36" s="8">
        <v>14</v>
      </c>
      <c r="G36" s="12">
        <f t="shared" si="0"/>
        <v>21</v>
      </c>
      <c r="H36" s="12">
        <f t="shared" si="1"/>
        <v>892.70999999999992</v>
      </c>
    </row>
    <row r="37" spans="1:8">
      <c r="A37" s="6" t="s">
        <v>57</v>
      </c>
      <c r="B37" s="203">
        <v>304.39999999999998</v>
      </c>
      <c r="C37" s="203">
        <v>53.53</v>
      </c>
      <c r="D37" s="6" t="s">
        <v>54</v>
      </c>
      <c r="E37" s="6" t="s">
        <v>10</v>
      </c>
      <c r="F37" s="8">
        <v>14.5</v>
      </c>
      <c r="G37" s="12">
        <f t="shared" si="0"/>
        <v>21.75</v>
      </c>
      <c r="H37" s="12">
        <f t="shared" si="1"/>
        <v>1164.2774999999999</v>
      </c>
    </row>
    <row r="38" spans="1:8">
      <c r="A38" s="6" t="s">
        <v>58</v>
      </c>
      <c r="B38" s="203">
        <v>583</v>
      </c>
      <c r="C38" s="203">
        <v>100.39</v>
      </c>
      <c r="D38" s="6" t="s">
        <v>54</v>
      </c>
      <c r="E38" s="6" t="s">
        <v>10</v>
      </c>
      <c r="F38" s="8">
        <v>17.079999999999998</v>
      </c>
      <c r="G38" s="12">
        <f t="shared" si="0"/>
        <v>25.619999999999997</v>
      </c>
      <c r="H38" s="12">
        <f t="shared" si="1"/>
        <v>2571.9917999999998</v>
      </c>
    </row>
    <row r="39" spans="1:8">
      <c r="A39" s="6" t="s">
        <v>59</v>
      </c>
      <c r="B39" s="203">
        <v>158.4</v>
      </c>
      <c r="C39" s="203">
        <v>1.33</v>
      </c>
      <c r="D39" s="6" t="s">
        <v>60</v>
      </c>
      <c r="E39" s="6" t="s">
        <v>10</v>
      </c>
      <c r="F39" s="8">
        <v>11.5</v>
      </c>
      <c r="G39" s="12">
        <f t="shared" si="0"/>
        <v>17.25</v>
      </c>
      <c r="H39" s="12">
        <f t="shared" si="1"/>
        <v>22.942500000000003</v>
      </c>
    </row>
    <row r="40" spans="1:8">
      <c r="A40" s="6" t="s">
        <v>61</v>
      </c>
      <c r="B40" s="203">
        <v>153.32</v>
      </c>
      <c r="C40" s="203">
        <v>8.66</v>
      </c>
      <c r="D40" s="6" t="s">
        <v>60</v>
      </c>
      <c r="E40" s="6" t="s">
        <v>10</v>
      </c>
      <c r="F40" s="8">
        <v>11.5</v>
      </c>
      <c r="G40" s="12">
        <f t="shared" si="0"/>
        <v>17.25</v>
      </c>
      <c r="H40" s="12">
        <f t="shared" si="1"/>
        <v>149.38499999999999</v>
      </c>
    </row>
    <row r="41" spans="1:8">
      <c r="A41" s="6" t="s">
        <v>62</v>
      </c>
      <c r="B41" s="203">
        <v>356.82</v>
      </c>
      <c r="C41" s="203">
        <v>17.07</v>
      </c>
      <c r="D41" s="6" t="s">
        <v>60</v>
      </c>
      <c r="E41" s="6" t="s">
        <v>10</v>
      </c>
      <c r="F41" s="8">
        <v>11.5</v>
      </c>
      <c r="G41" s="12">
        <f t="shared" si="0"/>
        <v>17.25</v>
      </c>
      <c r="H41" s="12">
        <f t="shared" si="1"/>
        <v>294.45749999999998</v>
      </c>
    </row>
    <row r="42" spans="1:8">
      <c r="A42" s="6" t="s">
        <v>63</v>
      </c>
      <c r="B42" s="203">
        <v>239.3</v>
      </c>
      <c r="C42" s="203">
        <v>23.73</v>
      </c>
      <c r="D42" s="6" t="s">
        <v>60</v>
      </c>
      <c r="E42" s="6" t="s">
        <v>10</v>
      </c>
      <c r="F42" s="8">
        <v>11.5</v>
      </c>
      <c r="G42" s="12">
        <f t="shared" si="0"/>
        <v>17.25</v>
      </c>
      <c r="H42" s="12">
        <f t="shared" si="1"/>
        <v>409.34250000000003</v>
      </c>
    </row>
    <row r="43" spans="1:8">
      <c r="A43" s="6" t="s">
        <v>64</v>
      </c>
      <c r="B43" s="203">
        <v>571.21</v>
      </c>
      <c r="C43" s="203">
        <v>40.700000000000003</v>
      </c>
      <c r="D43" s="6" t="s">
        <v>60</v>
      </c>
      <c r="E43" s="6" t="s">
        <v>10</v>
      </c>
      <c r="F43" s="8">
        <v>11.5</v>
      </c>
      <c r="G43" s="12">
        <f t="shared" si="0"/>
        <v>17.25</v>
      </c>
      <c r="H43" s="12">
        <f t="shared" si="1"/>
        <v>702.07500000000005</v>
      </c>
    </row>
    <row r="44" spans="1:8">
      <c r="A44" s="6" t="s">
        <v>65</v>
      </c>
      <c r="B44" s="203">
        <v>131.44999999999999</v>
      </c>
      <c r="C44" s="203">
        <v>0.08</v>
      </c>
      <c r="D44" s="6" t="s">
        <v>66</v>
      </c>
      <c r="E44" s="6" t="s">
        <v>10</v>
      </c>
      <c r="F44" s="8">
        <v>12</v>
      </c>
      <c r="G44" s="12">
        <f t="shared" si="0"/>
        <v>18</v>
      </c>
      <c r="H44" s="12">
        <f t="shared" si="1"/>
        <v>1.44</v>
      </c>
    </row>
    <row r="45" spans="1:8">
      <c r="A45" s="6" t="s">
        <v>67</v>
      </c>
      <c r="B45" s="203">
        <v>220.78</v>
      </c>
      <c r="C45" s="203">
        <v>0.42</v>
      </c>
      <c r="D45" s="6" t="s">
        <v>66</v>
      </c>
      <c r="E45" s="6" t="s">
        <v>10</v>
      </c>
      <c r="F45" s="8">
        <v>11.5</v>
      </c>
      <c r="G45" s="12">
        <f t="shared" si="0"/>
        <v>17.25</v>
      </c>
      <c r="H45" s="12">
        <f t="shared" si="1"/>
        <v>7.2450000000000001</v>
      </c>
    </row>
    <row r="46" spans="1:8">
      <c r="A46" s="6" t="s">
        <v>68</v>
      </c>
      <c r="B46" s="203">
        <v>40</v>
      </c>
      <c r="C46" s="203">
        <v>0.75</v>
      </c>
      <c r="D46" s="6" t="s">
        <v>66</v>
      </c>
      <c r="E46" s="6" t="s">
        <v>10</v>
      </c>
      <c r="F46" s="8">
        <v>14</v>
      </c>
      <c r="G46" s="12">
        <f t="shared" si="0"/>
        <v>21</v>
      </c>
      <c r="H46" s="12">
        <f t="shared" si="1"/>
        <v>15.75</v>
      </c>
    </row>
    <row r="47" spans="1:8">
      <c r="A47" s="6" t="s">
        <v>69</v>
      </c>
      <c r="B47" s="203">
        <v>109</v>
      </c>
      <c r="C47" s="203">
        <v>3.75</v>
      </c>
      <c r="D47" s="6" t="s">
        <v>66</v>
      </c>
      <c r="E47" s="6" t="s">
        <v>10</v>
      </c>
      <c r="F47" s="8">
        <v>11.5</v>
      </c>
      <c r="G47" s="12">
        <f t="shared" si="0"/>
        <v>17.25</v>
      </c>
      <c r="H47" s="12">
        <f t="shared" si="1"/>
        <v>64.6875</v>
      </c>
    </row>
    <row r="48" spans="1:8">
      <c r="A48" s="6" t="s">
        <v>70</v>
      </c>
      <c r="B48" s="203">
        <v>69.5</v>
      </c>
      <c r="C48" s="203">
        <v>5.68</v>
      </c>
      <c r="D48" s="6" t="s">
        <v>66</v>
      </c>
      <c r="E48" s="6" t="s">
        <v>10</v>
      </c>
      <c r="F48" s="8">
        <v>12</v>
      </c>
      <c r="G48" s="12">
        <f t="shared" si="0"/>
        <v>18</v>
      </c>
      <c r="H48" s="12">
        <f t="shared" si="1"/>
        <v>102.24</v>
      </c>
    </row>
    <row r="49" spans="1:8">
      <c r="A49" s="6" t="s">
        <v>71</v>
      </c>
      <c r="B49" s="203">
        <v>270.51</v>
      </c>
      <c r="C49" s="203">
        <v>6.07</v>
      </c>
      <c r="D49" s="6" t="s">
        <v>66</v>
      </c>
      <c r="E49" s="6" t="s">
        <v>10</v>
      </c>
      <c r="F49" s="8">
        <v>11.5</v>
      </c>
      <c r="G49" s="12">
        <f t="shared" si="0"/>
        <v>17.25</v>
      </c>
      <c r="H49" s="12">
        <f t="shared" si="1"/>
        <v>104.70750000000001</v>
      </c>
    </row>
    <row r="50" spans="1:8">
      <c r="A50" s="6" t="s">
        <v>61</v>
      </c>
      <c r="B50" s="203">
        <v>419.54</v>
      </c>
      <c r="C50" s="203">
        <v>9.59</v>
      </c>
      <c r="D50" s="6" t="s">
        <v>66</v>
      </c>
      <c r="E50" s="6" t="s">
        <v>10</v>
      </c>
      <c r="F50" s="8">
        <v>11.5</v>
      </c>
      <c r="G50" s="12">
        <f t="shared" si="0"/>
        <v>17.25</v>
      </c>
      <c r="H50" s="12">
        <f t="shared" si="1"/>
        <v>165.42750000000001</v>
      </c>
    </row>
    <row r="51" spans="1:8">
      <c r="A51" s="6" t="s">
        <v>62</v>
      </c>
      <c r="B51" s="203">
        <v>154.32</v>
      </c>
      <c r="C51" s="203">
        <v>10.15</v>
      </c>
      <c r="D51" s="6" t="s">
        <v>66</v>
      </c>
      <c r="E51" s="6" t="s">
        <v>10</v>
      </c>
      <c r="F51" s="8">
        <v>11.5</v>
      </c>
      <c r="G51" s="12">
        <f t="shared" si="0"/>
        <v>17.25</v>
      </c>
      <c r="H51" s="12">
        <f t="shared" si="1"/>
        <v>175.08750000000001</v>
      </c>
    </row>
    <row r="52" spans="1:8">
      <c r="A52" s="6" t="s">
        <v>72</v>
      </c>
      <c r="B52" s="203">
        <v>40</v>
      </c>
      <c r="C52" s="203">
        <v>15.63</v>
      </c>
      <c r="D52" s="6" t="s">
        <v>66</v>
      </c>
      <c r="E52" s="6" t="s">
        <v>10</v>
      </c>
      <c r="F52" s="8">
        <v>12</v>
      </c>
      <c r="G52" s="12">
        <f t="shared" si="0"/>
        <v>18</v>
      </c>
      <c r="H52" s="12">
        <f t="shared" si="1"/>
        <v>281.34000000000003</v>
      </c>
    </row>
    <row r="53" spans="1:8">
      <c r="A53" s="6" t="s">
        <v>73</v>
      </c>
      <c r="B53" s="203">
        <v>559.64</v>
      </c>
      <c r="C53" s="203">
        <v>20.45</v>
      </c>
      <c r="D53" s="6" t="s">
        <v>66</v>
      </c>
      <c r="E53" s="6" t="s">
        <v>10</v>
      </c>
      <c r="F53" s="8">
        <v>10.5</v>
      </c>
      <c r="G53" s="12">
        <f t="shared" si="0"/>
        <v>15.75</v>
      </c>
      <c r="H53" s="12">
        <f t="shared" si="1"/>
        <v>322.08749999999998</v>
      </c>
    </row>
    <row r="54" spans="1:8">
      <c r="A54" s="6" t="s">
        <v>74</v>
      </c>
      <c r="B54" s="203">
        <v>120</v>
      </c>
      <c r="C54" s="203">
        <v>21.25</v>
      </c>
      <c r="D54" s="6" t="s">
        <v>66</v>
      </c>
      <c r="E54" s="6" t="s">
        <v>10</v>
      </c>
      <c r="F54" s="8">
        <v>13.2</v>
      </c>
      <c r="G54" s="12">
        <f t="shared" si="0"/>
        <v>19.799999999999997</v>
      </c>
      <c r="H54" s="12">
        <f t="shared" si="1"/>
        <v>420.74999999999994</v>
      </c>
    </row>
    <row r="55" spans="1:8">
      <c r="A55" s="6" t="s">
        <v>75</v>
      </c>
      <c r="B55" s="203">
        <v>543.57000000000005</v>
      </c>
      <c r="C55" s="203">
        <v>24.02</v>
      </c>
      <c r="D55" s="6" t="s">
        <v>66</v>
      </c>
      <c r="E55" s="6" t="s">
        <v>10</v>
      </c>
      <c r="F55" s="8">
        <v>12</v>
      </c>
      <c r="G55" s="12">
        <f t="shared" si="0"/>
        <v>18</v>
      </c>
      <c r="H55" s="12">
        <f t="shared" si="1"/>
        <v>432.36</v>
      </c>
    </row>
    <row r="56" spans="1:8">
      <c r="A56" s="6" t="s">
        <v>76</v>
      </c>
      <c r="B56" s="203">
        <v>602.61</v>
      </c>
      <c r="C56" s="203">
        <v>24.79</v>
      </c>
      <c r="D56" s="6" t="s">
        <v>66</v>
      </c>
      <c r="E56" s="6" t="s">
        <v>10</v>
      </c>
      <c r="F56" s="8">
        <v>12.5</v>
      </c>
      <c r="G56" s="12">
        <f t="shared" si="0"/>
        <v>18.75</v>
      </c>
      <c r="H56" s="12">
        <f t="shared" si="1"/>
        <v>464.8125</v>
      </c>
    </row>
    <row r="57" spans="1:8">
      <c r="A57" s="6" t="s">
        <v>77</v>
      </c>
      <c r="B57" s="203">
        <v>120</v>
      </c>
      <c r="C57" s="203">
        <v>29.42</v>
      </c>
      <c r="D57" s="6" t="s">
        <v>66</v>
      </c>
      <c r="E57" s="6" t="s">
        <v>10</v>
      </c>
      <c r="F57" s="8">
        <v>11.5</v>
      </c>
      <c r="G57" s="12">
        <f t="shared" si="0"/>
        <v>17.25</v>
      </c>
      <c r="H57" s="12">
        <f t="shared" si="1"/>
        <v>507.495</v>
      </c>
    </row>
    <row r="58" spans="1:8">
      <c r="A58" s="6" t="s">
        <v>78</v>
      </c>
      <c r="B58" s="203">
        <v>568.04</v>
      </c>
      <c r="C58" s="203">
        <v>34.64</v>
      </c>
      <c r="D58" s="6" t="s">
        <v>66</v>
      </c>
      <c r="E58" s="6" t="s">
        <v>10</v>
      </c>
      <c r="F58" s="8">
        <v>12.75</v>
      </c>
      <c r="G58" s="12">
        <f t="shared" si="0"/>
        <v>19.125</v>
      </c>
      <c r="H58" s="12">
        <f t="shared" si="1"/>
        <v>662.49</v>
      </c>
    </row>
    <row r="59" spans="1:8">
      <c r="A59" s="6" t="s">
        <v>79</v>
      </c>
      <c r="B59" s="203">
        <v>612.02</v>
      </c>
      <c r="C59" s="203">
        <v>35.54</v>
      </c>
      <c r="D59" s="6" t="s">
        <v>66</v>
      </c>
      <c r="E59" s="6" t="s">
        <v>10</v>
      </c>
      <c r="F59" s="8">
        <v>15.5</v>
      </c>
      <c r="G59" s="12">
        <f t="shared" si="0"/>
        <v>23.25</v>
      </c>
      <c r="H59" s="12">
        <f t="shared" si="1"/>
        <v>826.30499999999995</v>
      </c>
    </row>
    <row r="60" spans="1:8">
      <c r="A60" s="6" t="s">
        <v>80</v>
      </c>
      <c r="B60" s="203">
        <v>478.55</v>
      </c>
      <c r="C60" s="203">
        <v>38.24</v>
      </c>
      <c r="D60" s="6" t="s">
        <v>66</v>
      </c>
      <c r="E60" s="6" t="s">
        <v>10</v>
      </c>
      <c r="F60" s="8">
        <v>11.5</v>
      </c>
      <c r="G60" s="12">
        <f t="shared" si="0"/>
        <v>17.25</v>
      </c>
      <c r="H60" s="12">
        <f t="shared" si="1"/>
        <v>659.64</v>
      </c>
    </row>
    <row r="61" spans="1:8">
      <c r="A61" s="6" t="s">
        <v>81</v>
      </c>
      <c r="B61" s="203">
        <v>573.65</v>
      </c>
      <c r="C61" s="203">
        <v>38.31</v>
      </c>
      <c r="D61" s="6" t="s">
        <v>66</v>
      </c>
      <c r="E61" s="6" t="s">
        <v>10</v>
      </c>
      <c r="F61" s="8">
        <v>13</v>
      </c>
      <c r="G61" s="12">
        <f t="shared" si="0"/>
        <v>19.5</v>
      </c>
      <c r="H61" s="12">
        <f t="shared" si="1"/>
        <v>747.04500000000007</v>
      </c>
    </row>
    <row r="62" spans="1:8">
      <c r="A62" s="6" t="s">
        <v>82</v>
      </c>
      <c r="B62" s="203">
        <v>381.32</v>
      </c>
      <c r="C62" s="203">
        <v>45.06</v>
      </c>
      <c r="D62" s="6" t="s">
        <v>66</v>
      </c>
      <c r="E62" s="6" t="s">
        <v>10</v>
      </c>
      <c r="F62" s="8">
        <v>11.5</v>
      </c>
      <c r="G62" s="12">
        <f t="shared" si="0"/>
        <v>17.25</v>
      </c>
      <c r="H62" s="12">
        <f t="shared" si="1"/>
        <v>777.28500000000008</v>
      </c>
    </row>
    <row r="63" spans="1:8">
      <c r="A63" s="6" t="s">
        <v>83</v>
      </c>
      <c r="B63" s="203">
        <v>551.86</v>
      </c>
      <c r="C63" s="203">
        <v>48.68</v>
      </c>
      <c r="D63" s="6" t="s">
        <v>66</v>
      </c>
      <c r="E63" s="6" t="s">
        <v>10</v>
      </c>
      <c r="F63" s="8">
        <v>12.5</v>
      </c>
      <c r="G63" s="12">
        <f t="shared" si="0"/>
        <v>18.75</v>
      </c>
      <c r="H63" s="12">
        <f t="shared" si="1"/>
        <v>912.75</v>
      </c>
    </row>
    <row r="64" spans="1:8">
      <c r="A64" s="6" t="s">
        <v>84</v>
      </c>
      <c r="B64" s="203">
        <v>569.36</v>
      </c>
      <c r="C64" s="203">
        <v>50.44</v>
      </c>
      <c r="D64" s="6" t="s">
        <v>66</v>
      </c>
      <c r="E64" s="6" t="s">
        <v>10</v>
      </c>
      <c r="F64" s="8">
        <v>12.3</v>
      </c>
      <c r="G64" s="12">
        <f t="shared" si="0"/>
        <v>18.450000000000003</v>
      </c>
      <c r="H64" s="12">
        <f t="shared" si="1"/>
        <v>930.61800000000005</v>
      </c>
    </row>
    <row r="65" spans="1:8">
      <c r="A65" s="6" t="s">
        <v>48</v>
      </c>
      <c r="B65" s="203">
        <v>259.72000000000003</v>
      </c>
      <c r="C65" s="203">
        <v>51.08</v>
      </c>
      <c r="D65" s="6" t="s">
        <v>66</v>
      </c>
      <c r="E65" s="6" t="s">
        <v>10</v>
      </c>
      <c r="F65" s="8">
        <v>11.25</v>
      </c>
      <c r="G65" s="12">
        <f t="shared" si="0"/>
        <v>16.875</v>
      </c>
      <c r="H65" s="12">
        <f t="shared" si="1"/>
        <v>861.97500000000002</v>
      </c>
    </row>
    <row r="66" spans="1:8">
      <c r="A66" s="6" t="s">
        <v>57</v>
      </c>
      <c r="B66" s="203">
        <v>275.05</v>
      </c>
      <c r="C66" s="203">
        <v>55.22</v>
      </c>
      <c r="D66" s="6" t="s">
        <v>66</v>
      </c>
      <c r="E66" s="6" t="s">
        <v>10</v>
      </c>
      <c r="F66" s="8">
        <v>14.5</v>
      </c>
      <c r="G66" s="12">
        <f t="shared" ref="G66:G118" si="2">F66*1.5</f>
        <v>21.75</v>
      </c>
      <c r="H66" s="12">
        <f t="shared" ref="H66:H118" si="3">G66*C66</f>
        <v>1201.0350000000001</v>
      </c>
    </row>
    <row r="67" spans="1:8">
      <c r="A67" s="6" t="s">
        <v>85</v>
      </c>
      <c r="B67" s="203">
        <v>280</v>
      </c>
      <c r="C67" s="203">
        <v>74.33</v>
      </c>
      <c r="D67" s="6" t="s">
        <v>66</v>
      </c>
      <c r="E67" s="6" t="s">
        <v>10</v>
      </c>
      <c r="F67" s="8">
        <v>15.48</v>
      </c>
      <c r="G67" s="12">
        <f t="shared" si="2"/>
        <v>23.22</v>
      </c>
      <c r="H67" s="12">
        <f t="shared" si="3"/>
        <v>1725.9425999999999</v>
      </c>
    </row>
    <row r="68" spans="1:8">
      <c r="A68" s="6" t="s">
        <v>86</v>
      </c>
      <c r="B68" s="203">
        <v>610.03</v>
      </c>
      <c r="C68" s="203">
        <v>93.35</v>
      </c>
      <c r="D68" s="6" t="s">
        <v>66</v>
      </c>
      <c r="E68" s="6" t="s">
        <v>10</v>
      </c>
      <c r="F68" s="8">
        <v>14.5</v>
      </c>
      <c r="G68" s="12">
        <f t="shared" si="2"/>
        <v>21.75</v>
      </c>
      <c r="H68" s="12">
        <f t="shared" si="3"/>
        <v>2030.3625</v>
      </c>
    </row>
    <row r="69" spans="1:8">
      <c r="A69" s="6" t="s">
        <v>35</v>
      </c>
      <c r="B69" s="203">
        <v>320</v>
      </c>
      <c r="C69" s="203">
        <v>99.7</v>
      </c>
      <c r="D69" s="6" t="s">
        <v>66</v>
      </c>
      <c r="E69" s="6" t="s">
        <v>10</v>
      </c>
      <c r="F69" s="8">
        <v>14.66</v>
      </c>
      <c r="G69" s="12">
        <f t="shared" si="2"/>
        <v>21.990000000000002</v>
      </c>
      <c r="H69" s="12">
        <f t="shared" si="3"/>
        <v>2192.4030000000002</v>
      </c>
    </row>
    <row r="70" spans="1:8">
      <c r="A70" s="6" t="s">
        <v>87</v>
      </c>
      <c r="B70" s="203">
        <v>624.29999999999995</v>
      </c>
      <c r="C70" s="203">
        <v>101.78</v>
      </c>
      <c r="D70" s="6" t="s">
        <v>66</v>
      </c>
      <c r="E70" s="6" t="s">
        <v>10</v>
      </c>
      <c r="F70" s="8">
        <v>15</v>
      </c>
      <c r="G70" s="12">
        <f t="shared" si="2"/>
        <v>22.5</v>
      </c>
      <c r="H70" s="12">
        <f t="shared" si="3"/>
        <v>2290.0500000000002</v>
      </c>
    </row>
    <row r="71" spans="1:8">
      <c r="A71" s="6" t="s">
        <v>88</v>
      </c>
      <c r="B71" s="203">
        <v>587.27</v>
      </c>
      <c r="C71" s="203">
        <v>110.76</v>
      </c>
      <c r="D71" s="6" t="s">
        <v>66</v>
      </c>
      <c r="E71" s="6" t="s">
        <v>10</v>
      </c>
      <c r="F71" s="8">
        <v>12</v>
      </c>
      <c r="G71" s="12">
        <f t="shared" si="2"/>
        <v>18</v>
      </c>
      <c r="H71" s="12">
        <f t="shared" si="3"/>
        <v>1993.68</v>
      </c>
    </row>
    <row r="72" spans="1:8">
      <c r="A72" s="6" t="s">
        <v>89</v>
      </c>
      <c r="B72" s="203">
        <v>408.57</v>
      </c>
      <c r="C72" s="203">
        <v>117.52</v>
      </c>
      <c r="D72" s="6" t="s">
        <v>66</v>
      </c>
      <c r="E72" s="6" t="s">
        <v>10</v>
      </c>
      <c r="F72" s="8">
        <v>12</v>
      </c>
      <c r="G72" s="12">
        <f t="shared" si="2"/>
        <v>18</v>
      </c>
      <c r="H72" s="12">
        <f t="shared" si="3"/>
        <v>2115.36</v>
      </c>
    </row>
    <row r="73" spans="1:8">
      <c r="A73" s="6" t="s">
        <v>90</v>
      </c>
      <c r="B73" s="203">
        <v>585.75</v>
      </c>
      <c r="C73" s="203">
        <v>163.89</v>
      </c>
      <c r="D73" s="6" t="s">
        <v>66</v>
      </c>
      <c r="E73" s="6" t="s">
        <v>10</v>
      </c>
      <c r="F73" s="8">
        <v>18.25</v>
      </c>
      <c r="G73" s="12">
        <f t="shared" si="2"/>
        <v>27.375</v>
      </c>
      <c r="H73" s="12">
        <f t="shared" si="3"/>
        <v>4486.4887499999995</v>
      </c>
    </row>
    <row r="74" spans="1:8">
      <c r="A74" s="6" t="s">
        <v>14</v>
      </c>
      <c r="B74" s="203">
        <v>80</v>
      </c>
      <c r="C74" s="203">
        <v>4.97</v>
      </c>
      <c r="D74" s="6" t="s">
        <v>91</v>
      </c>
      <c r="E74" s="6" t="s">
        <v>10</v>
      </c>
      <c r="F74" s="8">
        <v>17</v>
      </c>
      <c r="G74" s="12">
        <f t="shared" si="2"/>
        <v>25.5</v>
      </c>
      <c r="H74" s="12">
        <f t="shared" si="3"/>
        <v>126.735</v>
      </c>
    </row>
    <row r="75" spans="1:8">
      <c r="A75" s="6" t="s">
        <v>92</v>
      </c>
      <c r="B75" s="203">
        <v>604.9</v>
      </c>
      <c r="C75" s="203">
        <v>13.27</v>
      </c>
      <c r="D75" s="6" t="s">
        <v>91</v>
      </c>
      <c r="E75" s="6" t="s">
        <v>10</v>
      </c>
      <c r="F75" s="8">
        <v>17.13</v>
      </c>
      <c r="G75" s="12">
        <f t="shared" si="2"/>
        <v>25.695</v>
      </c>
      <c r="H75" s="12">
        <f t="shared" si="3"/>
        <v>340.97264999999999</v>
      </c>
    </row>
    <row r="76" spans="1:8">
      <c r="A76" s="6" t="s">
        <v>93</v>
      </c>
      <c r="B76" s="203">
        <v>449.22</v>
      </c>
      <c r="C76" s="203">
        <v>76.92</v>
      </c>
      <c r="D76" s="6" t="s">
        <v>91</v>
      </c>
      <c r="E76" s="6" t="s">
        <v>10</v>
      </c>
      <c r="F76" s="8">
        <v>20.190000000000001</v>
      </c>
      <c r="G76" s="12">
        <f t="shared" si="2"/>
        <v>30.285000000000004</v>
      </c>
      <c r="H76" s="12">
        <f t="shared" si="3"/>
        <v>2329.5222000000003</v>
      </c>
    </row>
    <row r="77" spans="1:8">
      <c r="A77" s="6" t="s">
        <v>94</v>
      </c>
      <c r="B77" s="203">
        <v>573.82000000000005</v>
      </c>
      <c r="C77" s="203">
        <v>87.3</v>
      </c>
      <c r="D77" s="6" t="s">
        <v>91</v>
      </c>
      <c r="E77" s="6" t="s">
        <v>10</v>
      </c>
      <c r="F77" s="8">
        <v>18.5</v>
      </c>
      <c r="G77" s="12">
        <f t="shared" si="2"/>
        <v>27.75</v>
      </c>
      <c r="H77" s="12">
        <f t="shared" si="3"/>
        <v>2422.5749999999998</v>
      </c>
    </row>
    <row r="78" spans="1:8">
      <c r="A78" s="6" t="s">
        <v>95</v>
      </c>
      <c r="B78" s="203">
        <v>581.73</v>
      </c>
      <c r="C78" s="203">
        <v>39.1</v>
      </c>
      <c r="D78" s="6" t="s">
        <v>96</v>
      </c>
      <c r="E78" s="6" t="s">
        <v>10</v>
      </c>
      <c r="F78" s="8">
        <v>17.989999999999998</v>
      </c>
      <c r="G78" s="12">
        <f t="shared" si="2"/>
        <v>26.984999999999999</v>
      </c>
      <c r="H78" s="12">
        <f t="shared" si="3"/>
        <v>1055.1134999999999</v>
      </c>
    </row>
    <row r="79" spans="1:8">
      <c r="A79" s="6" t="s">
        <v>97</v>
      </c>
      <c r="B79" s="203">
        <v>573.01</v>
      </c>
      <c r="C79" s="203">
        <v>3.52</v>
      </c>
      <c r="D79" s="6" t="s">
        <v>98</v>
      </c>
      <c r="E79" s="6" t="s">
        <v>10</v>
      </c>
      <c r="F79" s="8">
        <v>19.809999999999999</v>
      </c>
      <c r="G79" s="12">
        <f t="shared" si="2"/>
        <v>29.714999999999996</v>
      </c>
      <c r="H79" s="12">
        <f t="shared" si="3"/>
        <v>104.59679999999999</v>
      </c>
    </row>
    <row r="80" spans="1:8">
      <c r="A80" s="6" t="s">
        <v>99</v>
      </c>
      <c r="B80" s="203">
        <v>518.22</v>
      </c>
      <c r="C80" s="203">
        <v>3.7</v>
      </c>
      <c r="D80" s="6" t="s">
        <v>98</v>
      </c>
      <c r="E80" s="6" t="s">
        <v>10</v>
      </c>
      <c r="F80" s="8">
        <v>16</v>
      </c>
      <c r="G80" s="12">
        <f t="shared" si="2"/>
        <v>24</v>
      </c>
      <c r="H80" s="12">
        <f t="shared" si="3"/>
        <v>88.800000000000011</v>
      </c>
    </row>
    <row r="81" spans="1:8">
      <c r="A81" s="6" t="s">
        <v>100</v>
      </c>
      <c r="B81" s="203">
        <v>586.92999999999995</v>
      </c>
      <c r="C81" s="203">
        <v>18.079999999999998</v>
      </c>
      <c r="D81" s="6" t="s">
        <v>101</v>
      </c>
      <c r="E81" s="6" t="s">
        <v>10</v>
      </c>
      <c r="F81" s="8">
        <v>19.329999999999998</v>
      </c>
      <c r="G81" s="12">
        <f t="shared" si="2"/>
        <v>28.994999999999997</v>
      </c>
      <c r="H81" s="12">
        <f t="shared" si="3"/>
        <v>524.22959999999989</v>
      </c>
    </row>
    <row r="82" spans="1:8">
      <c r="A82" s="6" t="s">
        <v>102</v>
      </c>
      <c r="B82" s="203">
        <v>583.94000000000005</v>
      </c>
      <c r="C82" s="203">
        <v>24.72</v>
      </c>
      <c r="D82" s="6" t="s">
        <v>101</v>
      </c>
      <c r="E82" s="6" t="s">
        <v>10</v>
      </c>
      <c r="F82" s="8">
        <v>22.72</v>
      </c>
      <c r="G82" s="12">
        <f t="shared" si="2"/>
        <v>34.08</v>
      </c>
      <c r="H82" s="12">
        <f t="shared" si="3"/>
        <v>842.45759999999996</v>
      </c>
    </row>
    <row r="83" spans="1:8">
      <c r="A83" s="6" t="s">
        <v>103</v>
      </c>
      <c r="B83" s="203">
        <v>328</v>
      </c>
      <c r="C83" s="203">
        <v>0.08</v>
      </c>
      <c r="D83" s="6" t="s">
        <v>104</v>
      </c>
      <c r="E83" s="6" t="s">
        <v>10</v>
      </c>
      <c r="F83" s="8">
        <v>9.36</v>
      </c>
      <c r="G83" s="12">
        <f t="shared" si="2"/>
        <v>14.04</v>
      </c>
      <c r="H83" s="12">
        <f t="shared" si="3"/>
        <v>1.1232</v>
      </c>
    </row>
    <row r="84" spans="1:8">
      <c r="A84" s="6" t="s">
        <v>105</v>
      </c>
      <c r="B84" s="203">
        <v>516.72</v>
      </c>
      <c r="C84" s="203">
        <v>0.08</v>
      </c>
      <c r="D84" s="6" t="s">
        <v>104</v>
      </c>
      <c r="E84" s="6" t="s">
        <v>10</v>
      </c>
      <c r="F84" s="8">
        <v>10.86</v>
      </c>
      <c r="G84" s="12">
        <f t="shared" si="2"/>
        <v>16.29</v>
      </c>
      <c r="H84" s="12">
        <f t="shared" si="3"/>
        <v>1.3031999999999999</v>
      </c>
    </row>
    <row r="85" spans="1:8">
      <c r="A85" s="6" t="s">
        <v>106</v>
      </c>
      <c r="B85" s="203">
        <v>600.41999999999996</v>
      </c>
      <c r="C85" s="203">
        <v>1.32</v>
      </c>
      <c r="D85" s="6" t="s">
        <v>104</v>
      </c>
      <c r="E85" s="6" t="s">
        <v>10</v>
      </c>
      <c r="F85" s="8">
        <v>11</v>
      </c>
      <c r="G85" s="12">
        <f t="shared" si="2"/>
        <v>16.5</v>
      </c>
      <c r="H85" s="12">
        <f t="shared" si="3"/>
        <v>21.78</v>
      </c>
    </row>
    <row r="86" spans="1:8">
      <c r="A86" s="6" t="s">
        <v>107</v>
      </c>
      <c r="B86" s="203">
        <v>495.02</v>
      </c>
      <c r="C86" s="203">
        <v>2.1</v>
      </c>
      <c r="D86" s="6" t="s">
        <v>104</v>
      </c>
      <c r="E86" s="6" t="s">
        <v>10</v>
      </c>
      <c r="F86" s="8">
        <v>11.35</v>
      </c>
      <c r="G86" s="12">
        <f t="shared" si="2"/>
        <v>17.024999999999999</v>
      </c>
      <c r="H86" s="12">
        <f t="shared" si="3"/>
        <v>35.752499999999998</v>
      </c>
    </row>
    <row r="87" spans="1:8">
      <c r="A87" s="6" t="s">
        <v>108</v>
      </c>
      <c r="B87" s="203">
        <v>571.28</v>
      </c>
      <c r="C87" s="203">
        <v>5.12</v>
      </c>
      <c r="D87" s="6" t="s">
        <v>104</v>
      </c>
      <c r="E87" s="6" t="s">
        <v>10</v>
      </c>
      <c r="F87" s="8">
        <v>10.62</v>
      </c>
      <c r="G87" s="12">
        <f t="shared" si="2"/>
        <v>15.93</v>
      </c>
      <c r="H87" s="12">
        <f t="shared" si="3"/>
        <v>81.561599999999999</v>
      </c>
    </row>
    <row r="88" spans="1:8">
      <c r="A88" s="6" t="s">
        <v>109</v>
      </c>
      <c r="B88" s="203">
        <v>542.83000000000004</v>
      </c>
      <c r="C88" s="203">
        <v>5.12</v>
      </c>
      <c r="D88" s="6" t="s">
        <v>104</v>
      </c>
      <c r="E88" s="6" t="s">
        <v>10</v>
      </c>
      <c r="F88" s="8">
        <v>9.5</v>
      </c>
      <c r="G88" s="12">
        <f t="shared" si="2"/>
        <v>14.25</v>
      </c>
      <c r="H88" s="12">
        <f t="shared" si="3"/>
        <v>72.960000000000008</v>
      </c>
    </row>
    <row r="89" spans="1:8">
      <c r="A89" s="6" t="s">
        <v>110</v>
      </c>
      <c r="B89" s="203">
        <v>608</v>
      </c>
      <c r="C89" s="203">
        <v>5.19</v>
      </c>
      <c r="D89" s="6" t="s">
        <v>104</v>
      </c>
      <c r="E89" s="6" t="s">
        <v>10</v>
      </c>
      <c r="F89" s="8">
        <v>11.25</v>
      </c>
      <c r="G89" s="12">
        <f t="shared" si="2"/>
        <v>16.875</v>
      </c>
      <c r="H89" s="12">
        <f t="shared" si="3"/>
        <v>87.581250000000011</v>
      </c>
    </row>
    <row r="90" spans="1:8">
      <c r="A90" s="6" t="s">
        <v>111</v>
      </c>
      <c r="B90" s="203">
        <v>594.98</v>
      </c>
      <c r="C90" s="203">
        <v>7.58</v>
      </c>
      <c r="D90" s="6" t="s">
        <v>104</v>
      </c>
      <c r="E90" s="6" t="s">
        <v>10</v>
      </c>
      <c r="F90" s="8">
        <v>10</v>
      </c>
      <c r="G90" s="12">
        <f t="shared" si="2"/>
        <v>15</v>
      </c>
      <c r="H90" s="12">
        <f t="shared" si="3"/>
        <v>113.7</v>
      </c>
    </row>
    <row r="91" spans="1:8">
      <c r="A91" s="6" t="s">
        <v>112</v>
      </c>
      <c r="B91" s="203">
        <v>280</v>
      </c>
      <c r="C91" s="203">
        <v>8.27</v>
      </c>
      <c r="D91" s="6" t="s">
        <v>104</v>
      </c>
      <c r="E91" s="6" t="s">
        <v>10</v>
      </c>
      <c r="F91" s="8">
        <v>11</v>
      </c>
      <c r="G91" s="12">
        <f t="shared" si="2"/>
        <v>16.5</v>
      </c>
      <c r="H91" s="12">
        <f t="shared" si="3"/>
        <v>136.45499999999998</v>
      </c>
    </row>
    <row r="92" spans="1:8">
      <c r="A92" s="6" t="s">
        <v>113</v>
      </c>
      <c r="B92" s="203">
        <v>581.08000000000004</v>
      </c>
      <c r="C92" s="203">
        <v>10.17</v>
      </c>
      <c r="D92" s="6" t="s">
        <v>104</v>
      </c>
      <c r="E92" s="6" t="s">
        <v>10</v>
      </c>
      <c r="F92" s="8">
        <v>9</v>
      </c>
      <c r="G92" s="12">
        <f t="shared" si="2"/>
        <v>13.5</v>
      </c>
      <c r="H92" s="12">
        <f t="shared" si="3"/>
        <v>137.29499999999999</v>
      </c>
    </row>
    <row r="93" spans="1:8">
      <c r="A93" s="6" t="s">
        <v>114</v>
      </c>
      <c r="B93" s="203">
        <v>595.12</v>
      </c>
      <c r="C93" s="203">
        <v>13.4</v>
      </c>
      <c r="D93" s="6" t="s">
        <v>104</v>
      </c>
      <c r="E93" s="6" t="s">
        <v>10</v>
      </c>
      <c r="F93" s="8">
        <v>8.75</v>
      </c>
      <c r="G93" s="12">
        <f t="shared" si="2"/>
        <v>13.125</v>
      </c>
      <c r="H93" s="12">
        <f t="shared" si="3"/>
        <v>175.875</v>
      </c>
    </row>
    <row r="94" spans="1:8">
      <c r="A94" s="6" t="s">
        <v>115</v>
      </c>
      <c r="B94" s="203">
        <v>592.38</v>
      </c>
      <c r="C94" s="203">
        <v>15.71</v>
      </c>
      <c r="D94" s="6" t="s">
        <v>104</v>
      </c>
      <c r="E94" s="6" t="s">
        <v>10</v>
      </c>
      <c r="F94" s="8">
        <v>10.78</v>
      </c>
      <c r="G94" s="12">
        <f t="shared" si="2"/>
        <v>16.169999999999998</v>
      </c>
      <c r="H94" s="12">
        <f t="shared" si="3"/>
        <v>254.0307</v>
      </c>
    </row>
    <row r="95" spans="1:8">
      <c r="A95" s="6" t="s">
        <v>116</v>
      </c>
      <c r="B95" s="203">
        <v>630.44000000000005</v>
      </c>
      <c r="C95" s="203">
        <v>23.24</v>
      </c>
      <c r="D95" s="6" t="s">
        <v>104</v>
      </c>
      <c r="E95" s="6" t="s">
        <v>10</v>
      </c>
      <c r="F95" s="8">
        <v>10</v>
      </c>
      <c r="G95" s="12">
        <f t="shared" si="2"/>
        <v>15</v>
      </c>
      <c r="H95" s="12">
        <f t="shared" si="3"/>
        <v>348.59999999999997</v>
      </c>
    </row>
    <row r="96" spans="1:8">
      <c r="A96" s="6" t="s">
        <v>117</v>
      </c>
      <c r="B96" s="203">
        <v>633.92999999999995</v>
      </c>
      <c r="C96" s="203">
        <v>24.55</v>
      </c>
      <c r="D96" s="6" t="s">
        <v>104</v>
      </c>
      <c r="E96" s="6" t="s">
        <v>10</v>
      </c>
      <c r="F96" s="8">
        <v>10.62</v>
      </c>
      <c r="G96" s="12">
        <f t="shared" si="2"/>
        <v>15.93</v>
      </c>
      <c r="H96" s="12">
        <f t="shared" si="3"/>
        <v>391.08150000000001</v>
      </c>
    </row>
    <row r="97" spans="1:8">
      <c r="A97" s="6" t="s">
        <v>118</v>
      </c>
      <c r="B97" s="203">
        <v>602.02</v>
      </c>
      <c r="C97" s="203">
        <v>25.85</v>
      </c>
      <c r="D97" s="6" t="s">
        <v>104</v>
      </c>
      <c r="E97" s="6" t="s">
        <v>10</v>
      </c>
      <c r="F97" s="8">
        <v>15</v>
      </c>
      <c r="G97" s="12">
        <f t="shared" si="2"/>
        <v>22.5</v>
      </c>
      <c r="H97" s="12">
        <f t="shared" si="3"/>
        <v>581.625</v>
      </c>
    </row>
    <row r="98" spans="1:8">
      <c r="A98" s="6" t="s">
        <v>119</v>
      </c>
      <c r="B98" s="203">
        <v>594.21</v>
      </c>
      <c r="C98" s="203">
        <v>26.4</v>
      </c>
      <c r="D98" s="6" t="s">
        <v>104</v>
      </c>
      <c r="E98" s="6" t="s">
        <v>10</v>
      </c>
      <c r="F98" s="8">
        <v>10.89</v>
      </c>
      <c r="G98" s="12">
        <f t="shared" si="2"/>
        <v>16.335000000000001</v>
      </c>
      <c r="H98" s="12">
        <f t="shared" si="3"/>
        <v>431.24399999999997</v>
      </c>
    </row>
    <row r="99" spans="1:8">
      <c r="A99" s="6" t="s">
        <v>120</v>
      </c>
      <c r="B99" s="203">
        <v>607.82000000000005</v>
      </c>
      <c r="C99" s="203">
        <v>26.89</v>
      </c>
      <c r="D99" s="6" t="s">
        <v>104</v>
      </c>
      <c r="E99" s="6" t="s">
        <v>10</v>
      </c>
      <c r="F99" s="8">
        <v>11.54</v>
      </c>
      <c r="G99" s="12">
        <f t="shared" si="2"/>
        <v>17.309999999999999</v>
      </c>
      <c r="H99" s="12">
        <f t="shared" si="3"/>
        <v>465.46589999999998</v>
      </c>
    </row>
    <row r="100" spans="1:8">
      <c r="A100" s="6" t="s">
        <v>121</v>
      </c>
      <c r="B100" s="203">
        <v>489.32</v>
      </c>
      <c r="C100" s="203">
        <v>27.53</v>
      </c>
      <c r="D100" s="6" t="s">
        <v>104</v>
      </c>
      <c r="E100" s="6" t="s">
        <v>10</v>
      </c>
      <c r="F100" s="8">
        <v>16.09</v>
      </c>
      <c r="G100" s="12">
        <f t="shared" si="2"/>
        <v>24.134999999999998</v>
      </c>
      <c r="H100" s="12">
        <f t="shared" si="3"/>
        <v>664.43655000000001</v>
      </c>
    </row>
    <row r="101" spans="1:8">
      <c r="A101" s="6" t="s">
        <v>122</v>
      </c>
      <c r="B101" s="203">
        <v>563.12</v>
      </c>
      <c r="C101" s="203">
        <v>30.82</v>
      </c>
      <c r="D101" s="6" t="s">
        <v>104</v>
      </c>
      <c r="E101" s="6" t="s">
        <v>10</v>
      </c>
      <c r="F101" s="8">
        <v>9.34</v>
      </c>
      <c r="G101" s="12">
        <f t="shared" si="2"/>
        <v>14.01</v>
      </c>
      <c r="H101" s="12">
        <f t="shared" si="3"/>
        <v>431.78820000000002</v>
      </c>
    </row>
    <row r="102" spans="1:8">
      <c r="A102" s="6" t="s">
        <v>123</v>
      </c>
      <c r="B102" s="203">
        <v>602.01</v>
      </c>
      <c r="C102" s="203">
        <v>32.49</v>
      </c>
      <c r="D102" s="6" t="s">
        <v>104</v>
      </c>
      <c r="E102" s="6" t="s">
        <v>10</v>
      </c>
      <c r="F102" s="8">
        <v>11.25</v>
      </c>
      <c r="G102" s="12">
        <f t="shared" si="2"/>
        <v>16.875</v>
      </c>
      <c r="H102" s="12">
        <f t="shared" si="3"/>
        <v>548.26875000000007</v>
      </c>
    </row>
    <row r="103" spans="1:8">
      <c r="A103" s="6" t="s">
        <v>124</v>
      </c>
      <c r="B103" s="203">
        <v>648.27</v>
      </c>
      <c r="C103" s="203">
        <v>67.540000000000006</v>
      </c>
      <c r="D103" s="6" t="s">
        <v>104</v>
      </c>
      <c r="E103" s="6" t="s">
        <v>10</v>
      </c>
      <c r="F103" s="8">
        <v>15</v>
      </c>
      <c r="G103" s="12">
        <f t="shared" si="2"/>
        <v>22.5</v>
      </c>
      <c r="H103" s="12">
        <f t="shared" si="3"/>
        <v>1519.65</v>
      </c>
    </row>
    <row r="104" spans="1:8">
      <c r="A104" s="6" t="s">
        <v>125</v>
      </c>
      <c r="B104" s="203">
        <v>296.7</v>
      </c>
      <c r="C104" s="203">
        <v>1.1299999999999999</v>
      </c>
      <c r="D104" s="6" t="s">
        <v>126</v>
      </c>
      <c r="E104" s="6" t="s">
        <v>10</v>
      </c>
      <c r="F104" s="8">
        <v>16.5</v>
      </c>
      <c r="G104" s="12">
        <f t="shared" si="2"/>
        <v>24.75</v>
      </c>
      <c r="H104" s="12">
        <f t="shared" si="3"/>
        <v>27.967499999999998</v>
      </c>
    </row>
    <row r="105" spans="1:8">
      <c r="A105" s="6" t="s">
        <v>127</v>
      </c>
      <c r="B105" s="203">
        <v>237.72</v>
      </c>
      <c r="C105" s="203">
        <v>15.59</v>
      </c>
      <c r="D105" s="6" t="s">
        <v>128</v>
      </c>
      <c r="E105" s="6" t="s">
        <v>10</v>
      </c>
      <c r="F105" s="8">
        <v>18</v>
      </c>
      <c r="G105" s="12">
        <f t="shared" si="2"/>
        <v>27</v>
      </c>
      <c r="H105" s="12">
        <f t="shared" si="3"/>
        <v>420.93</v>
      </c>
    </row>
    <row r="106" spans="1:8">
      <c r="A106" s="6" t="s">
        <v>121</v>
      </c>
      <c r="B106" s="203">
        <v>138.66999999999999</v>
      </c>
      <c r="C106" s="203">
        <v>6.22</v>
      </c>
      <c r="D106" s="6" t="s">
        <v>129</v>
      </c>
      <c r="E106" s="6" t="s">
        <v>10</v>
      </c>
      <c r="F106" s="8">
        <v>16.09</v>
      </c>
      <c r="G106" s="12">
        <f t="shared" si="2"/>
        <v>24.134999999999998</v>
      </c>
      <c r="H106" s="12">
        <f t="shared" si="3"/>
        <v>150.11969999999999</v>
      </c>
    </row>
    <row r="107" spans="1:8">
      <c r="A107" s="6" t="s">
        <v>130</v>
      </c>
      <c r="B107" s="203">
        <v>604.97</v>
      </c>
      <c r="C107" s="203">
        <v>25.24</v>
      </c>
      <c r="D107" s="6" t="s">
        <v>129</v>
      </c>
      <c r="E107" s="6" t="s">
        <v>10</v>
      </c>
      <c r="F107" s="8">
        <v>11</v>
      </c>
      <c r="G107" s="12">
        <f t="shared" si="2"/>
        <v>16.5</v>
      </c>
      <c r="H107" s="12">
        <f t="shared" si="3"/>
        <v>416.46</v>
      </c>
    </row>
    <row r="108" spans="1:8">
      <c r="A108" s="6" t="s">
        <v>112</v>
      </c>
      <c r="B108" s="203">
        <v>352</v>
      </c>
      <c r="C108" s="203">
        <v>6</v>
      </c>
      <c r="D108" s="6" t="s">
        <v>131</v>
      </c>
      <c r="E108" s="6" t="s">
        <v>10</v>
      </c>
      <c r="F108" s="8">
        <v>11</v>
      </c>
      <c r="G108" s="12">
        <f t="shared" si="2"/>
        <v>16.5</v>
      </c>
      <c r="H108" s="12">
        <f t="shared" si="3"/>
        <v>99</v>
      </c>
    </row>
    <row r="109" spans="1:8">
      <c r="A109" s="6" t="s">
        <v>132</v>
      </c>
      <c r="B109" s="203">
        <v>608</v>
      </c>
      <c r="C109" s="203">
        <v>11.1</v>
      </c>
      <c r="D109" s="6" t="s">
        <v>131</v>
      </c>
      <c r="E109" s="6" t="s">
        <v>10</v>
      </c>
      <c r="F109" s="8">
        <v>12.3</v>
      </c>
      <c r="G109" s="12">
        <f t="shared" si="2"/>
        <v>18.450000000000003</v>
      </c>
      <c r="H109" s="12">
        <f t="shared" si="3"/>
        <v>204.79500000000002</v>
      </c>
    </row>
    <row r="110" spans="1:8">
      <c r="A110" s="6" t="s">
        <v>133</v>
      </c>
      <c r="B110" s="203">
        <v>152.83000000000001</v>
      </c>
      <c r="C110" s="203">
        <v>9.58</v>
      </c>
      <c r="D110" s="6" t="s">
        <v>134</v>
      </c>
      <c r="E110" s="6" t="s">
        <v>10</v>
      </c>
      <c r="F110" s="8">
        <v>14</v>
      </c>
      <c r="G110" s="12">
        <f t="shared" si="2"/>
        <v>21</v>
      </c>
      <c r="H110" s="12">
        <f t="shared" si="3"/>
        <v>201.18</v>
      </c>
    </row>
    <row r="111" spans="1:8">
      <c r="A111" s="6" t="s">
        <v>135</v>
      </c>
      <c r="B111" s="203">
        <v>320</v>
      </c>
      <c r="C111" s="203">
        <v>25.62</v>
      </c>
      <c r="D111" s="6" t="s">
        <v>134</v>
      </c>
      <c r="E111" s="6" t="s">
        <v>10</v>
      </c>
      <c r="F111" s="8">
        <v>18.27</v>
      </c>
      <c r="G111" s="12">
        <f t="shared" si="2"/>
        <v>27.405000000000001</v>
      </c>
      <c r="H111" s="12">
        <f t="shared" si="3"/>
        <v>702.11610000000007</v>
      </c>
    </row>
    <row r="112" spans="1:8">
      <c r="A112" s="6" t="s">
        <v>136</v>
      </c>
      <c r="B112" s="203">
        <v>564.13</v>
      </c>
      <c r="C112" s="203">
        <v>3.25</v>
      </c>
      <c r="D112" s="6" t="s">
        <v>137</v>
      </c>
      <c r="E112" s="6" t="s">
        <v>10</v>
      </c>
      <c r="F112" s="8">
        <v>19.57</v>
      </c>
      <c r="G112" s="12">
        <f t="shared" si="2"/>
        <v>29.355</v>
      </c>
      <c r="H112" s="12">
        <f t="shared" si="3"/>
        <v>95.403750000000002</v>
      </c>
    </row>
    <row r="113" spans="1:9">
      <c r="A113" s="6" t="s">
        <v>138</v>
      </c>
      <c r="B113" s="203">
        <v>281.11</v>
      </c>
      <c r="C113" s="203">
        <v>2.52</v>
      </c>
      <c r="D113" s="6" t="s">
        <v>139</v>
      </c>
      <c r="E113" s="6" t="s">
        <v>10</v>
      </c>
      <c r="F113" s="8">
        <v>18</v>
      </c>
      <c r="G113" s="12">
        <f t="shared" si="2"/>
        <v>27</v>
      </c>
      <c r="H113" s="12">
        <f t="shared" si="3"/>
        <v>68.040000000000006</v>
      </c>
    </row>
    <row r="114" spans="1:9">
      <c r="A114" s="6" t="s">
        <v>140</v>
      </c>
      <c r="B114" s="203">
        <v>461.46</v>
      </c>
      <c r="C114" s="203">
        <v>1.03</v>
      </c>
      <c r="D114" s="6" t="s">
        <v>141</v>
      </c>
      <c r="E114" s="6" t="s">
        <v>10</v>
      </c>
      <c r="F114" s="8">
        <v>10.19</v>
      </c>
      <c r="G114" s="12">
        <f t="shared" si="2"/>
        <v>15.285</v>
      </c>
      <c r="H114" s="12">
        <f t="shared" si="3"/>
        <v>15.743550000000001</v>
      </c>
    </row>
    <row r="115" spans="1:9">
      <c r="A115" s="6" t="s">
        <v>142</v>
      </c>
      <c r="B115" s="203">
        <v>540.66999999999996</v>
      </c>
      <c r="C115" s="203">
        <v>1.93</v>
      </c>
      <c r="D115" s="6" t="s">
        <v>141</v>
      </c>
      <c r="E115" s="6" t="s">
        <v>10</v>
      </c>
      <c r="F115" s="8">
        <v>10</v>
      </c>
      <c r="G115" s="12">
        <f t="shared" si="2"/>
        <v>15</v>
      </c>
      <c r="H115" s="12">
        <f t="shared" si="3"/>
        <v>28.95</v>
      </c>
    </row>
    <row r="116" spans="1:9">
      <c r="A116" s="6" t="s">
        <v>143</v>
      </c>
      <c r="B116" s="203">
        <v>560.11</v>
      </c>
      <c r="C116" s="203">
        <v>12.48</v>
      </c>
      <c r="D116" s="6" t="s">
        <v>141</v>
      </c>
      <c r="E116" s="6" t="s">
        <v>10</v>
      </c>
      <c r="F116" s="8">
        <v>12.97</v>
      </c>
      <c r="G116" s="12">
        <f t="shared" si="2"/>
        <v>19.455000000000002</v>
      </c>
      <c r="H116" s="12">
        <f t="shared" si="3"/>
        <v>242.79840000000004</v>
      </c>
    </row>
    <row r="117" spans="1:9">
      <c r="A117" s="6" t="s">
        <v>144</v>
      </c>
      <c r="B117" s="203">
        <v>601.1</v>
      </c>
      <c r="C117" s="203">
        <v>13.01</v>
      </c>
      <c r="D117" s="6" t="s">
        <v>141</v>
      </c>
      <c r="E117" s="6" t="s">
        <v>10</v>
      </c>
      <c r="F117" s="8">
        <v>11.78</v>
      </c>
      <c r="G117" s="12">
        <f t="shared" si="2"/>
        <v>17.669999999999998</v>
      </c>
      <c r="H117" s="12">
        <f t="shared" si="3"/>
        <v>229.88669999999996</v>
      </c>
    </row>
    <row r="118" spans="1:9">
      <c r="A118" s="6" t="s">
        <v>145</v>
      </c>
      <c r="B118" s="203">
        <v>587.9</v>
      </c>
      <c r="C118" s="203">
        <v>15.26</v>
      </c>
      <c r="D118" s="6" t="s">
        <v>146</v>
      </c>
      <c r="E118" s="6" t="s">
        <v>10</v>
      </c>
      <c r="F118" s="8">
        <v>19.23</v>
      </c>
      <c r="G118" s="12">
        <f t="shared" si="2"/>
        <v>28.844999999999999</v>
      </c>
      <c r="H118" s="12">
        <f t="shared" si="3"/>
        <v>440.17469999999997</v>
      </c>
    </row>
    <row r="119" spans="1:9">
      <c r="A119" t="s">
        <v>7</v>
      </c>
      <c r="B119" s="203">
        <v>61548.17</v>
      </c>
      <c r="C119" s="203">
        <v>3087.53</v>
      </c>
      <c r="H119" s="12">
        <f>SUM(H2:H118)</f>
        <v>68199.796050000004</v>
      </c>
      <c r="I119" s="12">
        <f>H119/4</f>
        <v>17049.949012500001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13"/>
  <sheetViews>
    <sheetView workbookViewId="0">
      <pane ySplit="1" topLeftCell="A2" activePane="bottomLeft" state="frozenSplit"/>
      <selection pane="bottomLeft" activeCell="G1" sqref="G1:K4"/>
    </sheetView>
  </sheetViews>
  <sheetFormatPr defaultRowHeight="12.75"/>
  <cols>
    <col min="1" max="1" width="31.7109375" customWidth="1"/>
    <col min="2" max="2" width="22.7109375" customWidth="1"/>
    <col min="3" max="3" width="36.7109375" customWidth="1"/>
    <col min="4" max="4" width="22.7109375" customWidth="1"/>
    <col min="5" max="5" width="25.7109375" customWidth="1"/>
    <col min="6" max="6" width="64" bestFit="1" customWidth="1"/>
    <col min="7" max="7" width="12.140625" customWidth="1"/>
    <col min="8" max="8" width="10" bestFit="1" customWidth="1"/>
    <col min="9" max="9" width="11.85546875" bestFit="1" customWidth="1"/>
    <col min="11" max="11" width="14" customWidth="1"/>
  </cols>
  <sheetData>
    <row r="1" spans="1:11">
      <c r="A1" s="1" t="s">
        <v>147</v>
      </c>
      <c r="B1" s="1" t="s">
        <v>148</v>
      </c>
      <c r="C1" s="1" t="s">
        <v>149</v>
      </c>
      <c r="D1" s="1" t="s">
        <v>150</v>
      </c>
      <c r="E1" s="1" t="s">
        <v>151</v>
      </c>
      <c r="F1" s="11" t="s">
        <v>258</v>
      </c>
      <c r="G1" s="38" t="s">
        <v>259</v>
      </c>
      <c r="H1" s="40" t="s">
        <v>260</v>
      </c>
      <c r="I1" s="41" t="s">
        <v>12</v>
      </c>
      <c r="J1" s="39" t="s">
        <v>261</v>
      </c>
      <c r="K1" s="42" t="s">
        <v>262</v>
      </c>
    </row>
    <row r="2" spans="1:11">
      <c r="A2" s="6" t="s">
        <v>20</v>
      </c>
      <c r="B2" s="6" t="s">
        <v>152</v>
      </c>
      <c r="C2" s="6" t="s">
        <v>15</v>
      </c>
      <c r="D2" s="7">
        <v>2.4</v>
      </c>
      <c r="E2" s="8">
        <v>63.04</v>
      </c>
      <c r="G2" s="13">
        <f>E83+E82+E81+E80+E69+E49+E39+E37+E34+E33+E32+E28+E27+E26+E18</f>
        <v>7416.99</v>
      </c>
      <c r="H2" s="14">
        <f>E93+E66</f>
        <v>951.3599999999999</v>
      </c>
      <c r="I2" s="15">
        <f>E62</f>
        <v>214.79</v>
      </c>
      <c r="J2" s="16">
        <f>E96+E100+E103+E107</f>
        <v>599.91</v>
      </c>
      <c r="K2" s="43">
        <f>E55</f>
        <v>132.13</v>
      </c>
    </row>
    <row r="3" spans="1:11">
      <c r="A3" s="6" t="s">
        <v>18</v>
      </c>
      <c r="B3" s="6" t="s">
        <v>152</v>
      </c>
      <c r="C3" s="6" t="s">
        <v>15</v>
      </c>
      <c r="D3" s="7">
        <v>1.6</v>
      </c>
      <c r="E3" s="8">
        <v>44.54</v>
      </c>
    </row>
    <row r="4" spans="1:11">
      <c r="A4" s="2" t="s">
        <v>19</v>
      </c>
      <c r="B4" s="3" t="s">
        <v>152</v>
      </c>
      <c r="C4" s="2" t="s">
        <v>15</v>
      </c>
      <c r="D4" s="7">
        <v>1.03</v>
      </c>
      <c r="E4" s="8">
        <v>30.85</v>
      </c>
      <c r="G4" s="305" t="s">
        <v>263</v>
      </c>
      <c r="H4" s="305"/>
      <c r="I4" s="305"/>
      <c r="J4" s="305"/>
      <c r="K4" s="305"/>
    </row>
    <row r="5" spans="1:11">
      <c r="A5" s="6" t="s">
        <v>17</v>
      </c>
      <c r="B5" s="210" t="s">
        <v>152</v>
      </c>
      <c r="C5" s="6" t="s">
        <v>15</v>
      </c>
      <c r="D5" s="7">
        <v>0.3</v>
      </c>
      <c r="E5" s="8">
        <v>6.98</v>
      </c>
    </row>
    <row r="6" spans="1:11">
      <c r="A6" s="6" t="s">
        <v>21</v>
      </c>
      <c r="B6" s="6" t="s">
        <v>152</v>
      </c>
      <c r="C6" s="6" t="s">
        <v>15</v>
      </c>
      <c r="D6" s="7">
        <v>0.68</v>
      </c>
      <c r="E6" s="8">
        <v>21.97</v>
      </c>
    </row>
    <row r="7" spans="1:11">
      <c r="A7" s="6" t="s">
        <v>16</v>
      </c>
      <c r="B7" s="210" t="s">
        <v>152</v>
      </c>
      <c r="C7" s="6" t="s">
        <v>15</v>
      </c>
      <c r="D7" s="7">
        <v>1.83</v>
      </c>
      <c r="E7" s="8">
        <v>46.04</v>
      </c>
    </row>
    <row r="8" spans="1:11">
      <c r="A8" s="204" t="s">
        <v>7</v>
      </c>
      <c r="B8" s="6"/>
      <c r="C8" s="6"/>
      <c r="D8" s="205">
        <f>SUM(D2:D7)</f>
        <v>7.84</v>
      </c>
      <c r="E8" s="206">
        <f>SUM(E2:E7)</f>
        <v>213.42</v>
      </c>
    </row>
    <row r="9" spans="1:11">
      <c r="A9" s="6"/>
      <c r="B9" s="6"/>
      <c r="C9" s="6"/>
      <c r="D9" s="7"/>
      <c r="E9" s="8"/>
    </row>
    <row r="10" spans="1:11">
      <c r="A10" s="2" t="s">
        <v>28</v>
      </c>
      <c r="B10" s="3" t="s">
        <v>217</v>
      </c>
      <c r="C10" s="2" t="s">
        <v>218</v>
      </c>
      <c r="D10" s="7">
        <v>1.37</v>
      </c>
      <c r="E10" s="8">
        <v>37.93</v>
      </c>
    </row>
    <row r="11" spans="1:11">
      <c r="A11" s="204" t="s">
        <v>7</v>
      </c>
      <c r="B11" s="6"/>
      <c r="C11" s="6"/>
      <c r="D11" s="207">
        <v>1.37</v>
      </c>
      <c r="E11" s="206">
        <v>37.93</v>
      </c>
    </row>
    <row r="12" spans="1:11">
      <c r="A12" s="204"/>
      <c r="B12" s="6"/>
      <c r="C12" s="6"/>
      <c r="D12" s="207"/>
      <c r="E12" s="206"/>
    </row>
    <row r="13" spans="1:11">
      <c r="A13" s="6"/>
      <c r="B13" s="6"/>
      <c r="C13" s="6"/>
      <c r="D13" s="7"/>
      <c r="E13" s="8"/>
    </row>
    <row r="14" spans="1:11">
      <c r="A14" s="6" t="s">
        <v>30</v>
      </c>
      <c r="B14" s="6" t="s">
        <v>155</v>
      </c>
      <c r="C14" s="6" t="s">
        <v>31</v>
      </c>
      <c r="D14" s="7">
        <v>0.08</v>
      </c>
      <c r="E14" s="8">
        <v>2.13</v>
      </c>
    </row>
    <row r="15" spans="1:11">
      <c r="A15" s="6" t="s">
        <v>195</v>
      </c>
      <c r="B15" s="210" t="s">
        <v>155</v>
      </c>
      <c r="C15" s="6" t="s">
        <v>196</v>
      </c>
      <c r="D15" s="7">
        <v>0.32</v>
      </c>
      <c r="E15" s="8">
        <v>9.5</v>
      </c>
      <c r="F15" s="18"/>
    </row>
    <row r="16" spans="1:11">
      <c r="A16" s="204" t="s">
        <v>7</v>
      </c>
      <c r="B16" s="6"/>
      <c r="C16" s="6"/>
      <c r="D16" s="207">
        <f>SUM(D14:D15)</f>
        <v>0.4</v>
      </c>
      <c r="E16" s="206">
        <f>SUM(E14:E15)</f>
        <v>11.629999999999999</v>
      </c>
    </row>
    <row r="17" spans="1:7">
      <c r="A17" s="204"/>
      <c r="B17" s="6"/>
      <c r="C17" s="6"/>
      <c r="D17" s="207"/>
      <c r="E17" s="206"/>
    </row>
    <row r="18" spans="1:7">
      <c r="A18" s="212" t="s">
        <v>160</v>
      </c>
      <c r="B18" s="213" t="s">
        <v>198</v>
      </c>
      <c r="C18" s="212" t="s">
        <v>264</v>
      </c>
      <c r="D18" s="214">
        <v>23.92</v>
      </c>
      <c r="E18" s="215">
        <v>538.13</v>
      </c>
      <c r="F18" t="s">
        <v>265</v>
      </c>
      <c r="G18" s="12"/>
    </row>
    <row r="19" spans="1:7">
      <c r="A19" s="204" t="s">
        <v>7</v>
      </c>
      <c r="B19" s="6"/>
      <c r="C19" s="6"/>
      <c r="D19" s="207">
        <v>23.92</v>
      </c>
      <c r="E19" s="206">
        <v>538.13</v>
      </c>
    </row>
    <row r="20" spans="1:7">
      <c r="A20" s="204"/>
      <c r="B20" s="6"/>
      <c r="C20" s="6"/>
      <c r="D20" s="207"/>
      <c r="E20" s="206"/>
    </row>
    <row r="21" spans="1:7">
      <c r="A21" s="6" t="s">
        <v>94</v>
      </c>
      <c r="B21" s="6" t="s">
        <v>156</v>
      </c>
      <c r="C21" s="6" t="s">
        <v>91</v>
      </c>
      <c r="D21" s="7">
        <v>0.17</v>
      </c>
      <c r="E21" s="8">
        <v>4.63</v>
      </c>
    </row>
    <row r="22" spans="1:7">
      <c r="A22" s="6" t="s">
        <v>92</v>
      </c>
      <c r="B22" s="210" t="s">
        <v>156</v>
      </c>
      <c r="C22" s="6" t="s">
        <v>91</v>
      </c>
      <c r="D22" s="7">
        <v>0.78</v>
      </c>
      <c r="E22" s="8">
        <v>20.13</v>
      </c>
    </row>
    <row r="23" spans="1:7">
      <c r="A23" s="204" t="s">
        <v>7</v>
      </c>
      <c r="B23" s="6"/>
      <c r="C23" s="6"/>
      <c r="D23" s="207">
        <f>SUM(D21:D22)</f>
        <v>0.95000000000000007</v>
      </c>
      <c r="E23" s="206">
        <f>SUM(E21:E22)</f>
        <v>24.759999999999998</v>
      </c>
    </row>
    <row r="24" spans="1:7">
      <c r="A24" s="6"/>
      <c r="B24" s="6"/>
      <c r="C24" s="6"/>
      <c r="D24" s="7"/>
      <c r="E24" s="8"/>
    </row>
    <row r="25" spans="1:7">
      <c r="A25" s="2" t="s">
        <v>266</v>
      </c>
      <c r="B25" s="3" t="s">
        <v>157</v>
      </c>
      <c r="C25" s="2" t="s">
        <v>66</v>
      </c>
      <c r="D25" s="7">
        <v>0.1</v>
      </c>
      <c r="E25" s="8">
        <v>1.95</v>
      </c>
    </row>
    <row r="26" spans="1:7">
      <c r="A26" s="212" t="s">
        <v>158</v>
      </c>
      <c r="B26" s="213" t="s">
        <v>157</v>
      </c>
      <c r="C26" s="212" t="s">
        <v>66</v>
      </c>
      <c r="D26" s="214">
        <f>26.25+2.92</f>
        <v>29.17</v>
      </c>
      <c r="E26" s="215">
        <f>472.5+52.5</f>
        <v>525</v>
      </c>
      <c r="F26" t="s">
        <v>265</v>
      </c>
    </row>
    <row r="27" spans="1:7">
      <c r="A27" s="212" t="s">
        <v>267</v>
      </c>
      <c r="B27" s="213" t="s">
        <v>157</v>
      </c>
      <c r="C27" s="212" t="s">
        <v>66</v>
      </c>
      <c r="D27" s="214">
        <f>5.78+7.82</f>
        <v>13.600000000000001</v>
      </c>
      <c r="E27" s="215">
        <f>130.13+175.88</f>
        <v>306.01</v>
      </c>
      <c r="F27" t="s">
        <v>265</v>
      </c>
    </row>
    <row r="28" spans="1:7">
      <c r="A28" s="212" t="s">
        <v>237</v>
      </c>
      <c r="B28" s="213" t="s">
        <v>157</v>
      </c>
      <c r="C28" s="212" t="s">
        <v>66</v>
      </c>
      <c r="D28" s="214">
        <v>25.77</v>
      </c>
      <c r="E28" s="215">
        <v>502.45</v>
      </c>
      <c r="F28" t="s">
        <v>265</v>
      </c>
    </row>
    <row r="29" spans="1:7">
      <c r="A29" s="6" t="s">
        <v>86</v>
      </c>
      <c r="B29" s="210" t="s">
        <v>157</v>
      </c>
      <c r="C29" s="6" t="s">
        <v>66</v>
      </c>
      <c r="D29" s="7">
        <v>1.83</v>
      </c>
      <c r="E29" s="8">
        <v>39.880000000000003</v>
      </c>
    </row>
    <row r="30" spans="1:7">
      <c r="A30" s="6" t="s">
        <v>85</v>
      </c>
      <c r="B30" s="210" t="s">
        <v>157</v>
      </c>
      <c r="C30" s="6" t="s">
        <v>66</v>
      </c>
      <c r="D30" s="7">
        <v>0.23</v>
      </c>
      <c r="E30" s="8">
        <v>5.42</v>
      </c>
    </row>
    <row r="31" spans="1:7">
      <c r="A31" s="6" t="s">
        <v>35</v>
      </c>
      <c r="B31" s="6" t="s">
        <v>157</v>
      </c>
      <c r="C31" s="6" t="s">
        <v>66</v>
      </c>
      <c r="D31" s="7">
        <v>0.98</v>
      </c>
      <c r="E31" s="8">
        <v>22.13</v>
      </c>
    </row>
    <row r="32" spans="1:7">
      <c r="A32" s="212" t="s">
        <v>65</v>
      </c>
      <c r="B32" s="213" t="s">
        <v>157</v>
      </c>
      <c r="C32" s="212" t="s">
        <v>66</v>
      </c>
      <c r="D32" s="214">
        <v>29.22</v>
      </c>
      <c r="E32" s="215">
        <v>525.9</v>
      </c>
      <c r="F32" t="s">
        <v>265</v>
      </c>
    </row>
    <row r="33" spans="1:6">
      <c r="A33" s="212" t="s">
        <v>79</v>
      </c>
      <c r="B33" s="213" t="s">
        <v>157</v>
      </c>
      <c r="C33" s="212" t="s">
        <v>66</v>
      </c>
      <c r="D33" s="214">
        <v>34.049999999999997</v>
      </c>
      <c r="E33" s="215">
        <v>791.66</v>
      </c>
      <c r="F33" t="s">
        <v>265</v>
      </c>
    </row>
    <row r="34" spans="1:6">
      <c r="A34" s="212" t="s">
        <v>64</v>
      </c>
      <c r="B34" s="213" t="s">
        <v>157</v>
      </c>
      <c r="C34" s="212" t="s">
        <v>66</v>
      </c>
      <c r="D34" s="214">
        <v>31.52</v>
      </c>
      <c r="E34" s="215">
        <v>567.29999999999995</v>
      </c>
      <c r="F34" t="s">
        <v>265</v>
      </c>
    </row>
    <row r="35" spans="1:6">
      <c r="A35" s="204" t="s">
        <v>7</v>
      </c>
      <c r="B35" s="6"/>
      <c r="C35" s="6"/>
      <c r="D35" s="207">
        <f>SUM(D25:D34)</f>
        <v>166.47</v>
      </c>
      <c r="E35" s="206">
        <f>SUM(E25:E34)</f>
        <v>3287.7</v>
      </c>
    </row>
    <row r="36" spans="1:6">
      <c r="A36" s="204"/>
      <c r="B36" s="6"/>
      <c r="C36" s="6"/>
      <c r="D36" s="207"/>
      <c r="E36" s="206"/>
    </row>
    <row r="37" spans="1:6">
      <c r="A37" s="212" t="s">
        <v>73</v>
      </c>
      <c r="B37" s="213" t="s">
        <v>162</v>
      </c>
      <c r="C37" s="212" t="s">
        <v>51</v>
      </c>
      <c r="D37" s="214">
        <v>22.12</v>
      </c>
      <c r="E37" s="215">
        <v>398.1</v>
      </c>
      <c r="F37" t="s">
        <v>265</v>
      </c>
    </row>
    <row r="38" spans="1:6">
      <c r="A38" s="6" t="s">
        <v>268</v>
      </c>
      <c r="B38" s="210" t="s">
        <v>162</v>
      </c>
      <c r="C38" s="6" t="s">
        <v>51</v>
      </c>
      <c r="D38" s="7">
        <v>0.60099999999999998</v>
      </c>
      <c r="E38" s="8">
        <v>15.3</v>
      </c>
    </row>
    <row r="39" spans="1:6">
      <c r="A39" s="212" t="s">
        <v>163</v>
      </c>
      <c r="B39" s="213" t="s">
        <v>162</v>
      </c>
      <c r="C39" s="212" t="s">
        <v>51</v>
      </c>
      <c r="D39" s="214">
        <v>20.5</v>
      </c>
      <c r="E39" s="215">
        <v>492</v>
      </c>
      <c r="F39" t="s">
        <v>269</v>
      </c>
    </row>
    <row r="40" spans="1:6">
      <c r="A40" s="204" t="s">
        <v>7</v>
      </c>
      <c r="B40" s="6"/>
      <c r="C40" s="6"/>
      <c r="D40" s="207">
        <f>SUM(D37:D39)</f>
        <v>43.221000000000004</v>
      </c>
      <c r="E40" s="206">
        <f>SUM(E37:E39)</f>
        <v>905.40000000000009</v>
      </c>
    </row>
    <row r="41" spans="1:6">
      <c r="A41" s="204"/>
      <c r="B41" s="6"/>
      <c r="C41" s="6"/>
      <c r="D41" s="7"/>
      <c r="E41" s="8"/>
    </row>
    <row r="42" spans="1:6">
      <c r="A42" s="6" t="s">
        <v>249</v>
      </c>
      <c r="B42" s="210" t="s">
        <v>167</v>
      </c>
      <c r="C42" s="6" t="s">
        <v>54</v>
      </c>
      <c r="D42" s="7">
        <v>1.18</v>
      </c>
      <c r="E42" s="8">
        <v>24.85</v>
      </c>
    </row>
    <row r="43" spans="1:6">
      <c r="A43" s="6" t="s">
        <v>254</v>
      </c>
      <c r="B43" s="210" t="s">
        <v>167</v>
      </c>
      <c r="C43" s="6" t="s">
        <v>54</v>
      </c>
      <c r="D43" s="7">
        <v>1.03</v>
      </c>
      <c r="E43" s="8">
        <v>21.7</v>
      </c>
    </row>
    <row r="44" spans="1:6">
      <c r="A44" s="6" t="s">
        <v>270</v>
      </c>
      <c r="B44" s="210" t="s">
        <v>167</v>
      </c>
      <c r="C44" s="6" t="s">
        <v>54</v>
      </c>
      <c r="D44" s="7">
        <v>0.1</v>
      </c>
      <c r="E44" s="8">
        <v>2.7</v>
      </c>
    </row>
    <row r="45" spans="1:6">
      <c r="A45" s="6" t="s">
        <v>57</v>
      </c>
      <c r="B45" s="210" t="s">
        <v>167</v>
      </c>
      <c r="C45" s="6" t="s">
        <v>54</v>
      </c>
      <c r="D45" s="7">
        <v>0.13</v>
      </c>
      <c r="E45" s="8">
        <v>2.9</v>
      </c>
    </row>
    <row r="46" spans="1:6">
      <c r="A46" s="6" t="s">
        <v>38</v>
      </c>
      <c r="B46" s="210" t="s">
        <v>167</v>
      </c>
      <c r="C46" s="6" t="s">
        <v>54</v>
      </c>
      <c r="D46" s="7">
        <v>0.67</v>
      </c>
      <c r="E46" s="8">
        <f>8.3+7.51</f>
        <v>15.81</v>
      </c>
    </row>
    <row r="47" spans="1:6">
      <c r="A47" s="204" t="s">
        <v>7</v>
      </c>
      <c r="B47" s="6"/>
      <c r="C47" s="6"/>
      <c r="D47" s="207">
        <f>SUM(D42:D46)</f>
        <v>3.11</v>
      </c>
      <c r="E47" s="206">
        <f>SUM(E42:E46)</f>
        <v>67.959999999999994</v>
      </c>
    </row>
    <row r="48" spans="1:6">
      <c r="A48" s="204"/>
      <c r="B48" s="6"/>
      <c r="C48" s="6"/>
      <c r="D48" s="7"/>
      <c r="E48" s="8"/>
    </row>
    <row r="49" spans="1:6">
      <c r="A49" s="212" t="s">
        <v>42</v>
      </c>
      <c r="B49" s="213" t="s">
        <v>170</v>
      </c>
      <c r="C49" s="212" t="s">
        <v>43</v>
      </c>
      <c r="D49" s="214">
        <v>21.33</v>
      </c>
      <c r="E49" s="215">
        <v>632</v>
      </c>
      <c r="F49" t="s">
        <v>265</v>
      </c>
    </row>
    <row r="50" spans="1:6">
      <c r="A50" s="204" t="s">
        <v>7</v>
      </c>
      <c r="B50" s="6"/>
      <c r="C50" s="6"/>
      <c r="D50" s="207">
        <f>SUM(D49)</f>
        <v>21.33</v>
      </c>
      <c r="E50" s="206">
        <f>SUM(E49)</f>
        <v>632</v>
      </c>
    </row>
    <row r="51" spans="1:6">
      <c r="A51" s="204"/>
      <c r="B51" s="6"/>
      <c r="C51" s="6"/>
      <c r="D51" s="207"/>
      <c r="E51" s="206"/>
    </row>
    <row r="52" spans="1:6">
      <c r="A52" s="6" t="s">
        <v>239</v>
      </c>
      <c r="B52" s="210" t="s">
        <v>240</v>
      </c>
      <c r="C52" s="6" t="s">
        <v>241</v>
      </c>
      <c r="D52" s="7">
        <v>0.5</v>
      </c>
      <c r="E52" s="8">
        <v>12</v>
      </c>
    </row>
    <row r="53" spans="1:6">
      <c r="A53" s="204" t="s">
        <v>7</v>
      </c>
      <c r="B53" s="6"/>
      <c r="C53" s="6"/>
      <c r="D53" s="207">
        <f>SUM(D52)</f>
        <v>0.5</v>
      </c>
      <c r="E53" s="206">
        <f>SUM(E52)</f>
        <v>12</v>
      </c>
    </row>
    <row r="54" spans="1:6">
      <c r="A54" s="6"/>
      <c r="B54" s="6"/>
      <c r="C54" s="6"/>
      <c r="D54" s="7"/>
      <c r="E54" s="8"/>
    </row>
    <row r="55" spans="1:6">
      <c r="A55" s="17" t="s">
        <v>229</v>
      </c>
      <c r="B55" s="216" t="s">
        <v>171</v>
      </c>
      <c r="C55" s="216" t="s">
        <v>25</v>
      </c>
      <c r="D55" s="217">
        <v>5.03</v>
      </c>
      <c r="E55" s="218">
        <v>132.13</v>
      </c>
      <c r="F55" s="6" t="s">
        <v>271</v>
      </c>
    </row>
    <row r="56" spans="1:6">
      <c r="A56" s="6" t="s">
        <v>222</v>
      </c>
      <c r="B56" s="210" t="s">
        <v>171</v>
      </c>
      <c r="C56" s="6" t="s">
        <v>25</v>
      </c>
      <c r="D56" s="7">
        <v>1.53</v>
      </c>
      <c r="E56" s="8">
        <v>40.25</v>
      </c>
    </row>
    <row r="57" spans="1:6">
      <c r="A57" s="6" t="s">
        <v>26</v>
      </c>
      <c r="B57" s="6" t="s">
        <v>171</v>
      </c>
      <c r="C57" s="6" t="s">
        <v>25</v>
      </c>
      <c r="D57" s="7">
        <v>2.93</v>
      </c>
      <c r="E57" s="8">
        <v>79.2</v>
      </c>
    </row>
    <row r="58" spans="1:6">
      <c r="A58" s="6" t="s">
        <v>223</v>
      </c>
      <c r="B58" s="210" t="s">
        <v>171</v>
      </c>
      <c r="C58" s="6" t="s">
        <v>25</v>
      </c>
      <c r="D58" s="7">
        <v>1.4</v>
      </c>
      <c r="E58" s="8">
        <v>35.700000000000003</v>
      </c>
    </row>
    <row r="59" spans="1:6">
      <c r="A59" s="204" t="s">
        <v>7</v>
      </c>
      <c r="B59" s="6"/>
      <c r="C59" s="6"/>
      <c r="D59" s="207">
        <f>SUM(D55:D58)</f>
        <v>10.89</v>
      </c>
      <c r="E59" s="206">
        <f>SUM(E55:E58)</f>
        <v>287.27999999999997</v>
      </c>
    </row>
    <row r="60" spans="1:6">
      <c r="A60" s="6"/>
      <c r="B60" s="6"/>
      <c r="C60" s="6"/>
      <c r="D60" s="7"/>
      <c r="E60" s="8"/>
    </row>
    <row r="61" spans="1:6">
      <c r="A61" s="6" t="s">
        <v>11</v>
      </c>
      <c r="B61" s="210" t="s">
        <v>172</v>
      </c>
      <c r="C61" s="6" t="s">
        <v>12</v>
      </c>
      <c r="D61" s="7">
        <v>2.75</v>
      </c>
      <c r="E61" s="8">
        <v>91.37</v>
      </c>
    </row>
    <row r="62" spans="1:6">
      <c r="A62" s="219" t="s">
        <v>13</v>
      </c>
      <c r="B62" s="219" t="s">
        <v>172</v>
      </c>
      <c r="C62" s="219" t="s">
        <v>12</v>
      </c>
      <c r="D62" s="220">
        <v>5.78</v>
      </c>
      <c r="E62" s="221">
        <v>214.79</v>
      </c>
      <c r="F62" s="6" t="s">
        <v>272</v>
      </c>
    </row>
    <row r="63" spans="1:6">
      <c r="A63" s="204" t="s">
        <v>7</v>
      </c>
      <c r="B63" s="6"/>
      <c r="C63" s="6"/>
      <c r="D63" s="207">
        <f>SUM(D61:D62)</f>
        <v>8.5300000000000011</v>
      </c>
      <c r="E63" s="206">
        <f>SUM(E61:E62)</f>
        <v>306.15999999999997</v>
      </c>
    </row>
    <row r="64" spans="1:6">
      <c r="A64" s="204"/>
      <c r="B64" s="6"/>
      <c r="C64" s="6"/>
      <c r="D64" s="7"/>
      <c r="E64" s="8"/>
    </row>
    <row r="65" spans="1:6">
      <c r="A65" s="6" t="s">
        <v>22</v>
      </c>
      <c r="B65" s="210">
        <v>100035</v>
      </c>
      <c r="C65" s="6" t="s">
        <v>23</v>
      </c>
      <c r="D65" s="7">
        <v>0.56999999999999995</v>
      </c>
      <c r="E65" s="8">
        <v>17.260000000000002</v>
      </c>
    </row>
    <row r="66" spans="1:6">
      <c r="A66" s="222" t="s">
        <v>205</v>
      </c>
      <c r="B66" s="223">
        <v>100035</v>
      </c>
      <c r="C66" s="222" t="s">
        <v>23</v>
      </c>
      <c r="D66" s="224">
        <v>18.43</v>
      </c>
      <c r="E66" s="225">
        <v>571.53</v>
      </c>
      <c r="F66" t="s">
        <v>273</v>
      </c>
    </row>
    <row r="67" spans="1:6">
      <c r="A67" s="204" t="s">
        <v>7</v>
      </c>
      <c r="B67" s="6"/>
      <c r="C67" s="6"/>
      <c r="D67" s="207">
        <f>SUM(D65:D66)</f>
        <v>19</v>
      </c>
      <c r="E67" s="206">
        <f>SUM(E65:E66)</f>
        <v>588.79</v>
      </c>
    </row>
    <row r="68" spans="1:6">
      <c r="A68" s="204"/>
      <c r="B68" s="6"/>
      <c r="C68" s="6"/>
      <c r="D68" s="7"/>
      <c r="E68" s="8"/>
    </row>
    <row r="69" spans="1:6">
      <c r="A69" s="212" t="s">
        <v>175</v>
      </c>
      <c r="B69" s="212">
        <v>100051</v>
      </c>
      <c r="C69" s="212" t="s">
        <v>34</v>
      </c>
      <c r="D69" s="214">
        <v>28</v>
      </c>
      <c r="E69" s="215">
        <v>504</v>
      </c>
      <c r="F69" t="s">
        <v>265</v>
      </c>
    </row>
    <row r="70" spans="1:6">
      <c r="A70" s="6" t="s">
        <v>212</v>
      </c>
      <c r="B70" s="6">
        <v>100051</v>
      </c>
      <c r="C70" s="6" t="s">
        <v>34</v>
      </c>
      <c r="D70" s="7">
        <v>0.18</v>
      </c>
      <c r="E70" s="8">
        <v>3.3</v>
      </c>
    </row>
    <row r="71" spans="1:6">
      <c r="A71" s="6" t="s">
        <v>274</v>
      </c>
      <c r="B71" s="6">
        <v>100051</v>
      </c>
      <c r="C71" s="6" t="s">
        <v>34</v>
      </c>
      <c r="D71" s="7">
        <v>0.3</v>
      </c>
      <c r="E71" s="8">
        <v>6.3</v>
      </c>
    </row>
    <row r="72" spans="1:6">
      <c r="A72" s="204" t="s">
        <v>7</v>
      </c>
      <c r="B72" s="6"/>
      <c r="C72" s="6"/>
      <c r="D72" s="207">
        <f>SUM(D69:D71)</f>
        <v>28.48</v>
      </c>
      <c r="E72" s="206">
        <f>SUM(E69:E71)</f>
        <v>513.6</v>
      </c>
    </row>
    <row r="73" spans="1:6">
      <c r="A73" s="204"/>
      <c r="B73" s="6"/>
      <c r="C73" s="6"/>
      <c r="D73" s="207"/>
      <c r="E73" s="206"/>
    </row>
    <row r="74" spans="1:6">
      <c r="A74" s="6" t="s">
        <v>136</v>
      </c>
      <c r="B74" s="6">
        <v>250025</v>
      </c>
      <c r="C74" s="6" t="s">
        <v>275</v>
      </c>
      <c r="D74" s="7">
        <v>0.38</v>
      </c>
      <c r="E74" s="8">
        <v>11.25</v>
      </c>
    </row>
    <row r="75" spans="1:6">
      <c r="A75" s="204" t="s">
        <v>7</v>
      </c>
      <c r="B75" s="6"/>
      <c r="C75" s="6"/>
      <c r="D75" s="207">
        <v>0.38</v>
      </c>
      <c r="E75" s="206">
        <v>11.25</v>
      </c>
    </row>
    <row r="76" spans="1:6">
      <c r="A76" s="204"/>
      <c r="B76" s="6"/>
      <c r="C76" s="6"/>
      <c r="D76" s="207"/>
      <c r="E76" s="206"/>
    </row>
    <row r="77" spans="1:6">
      <c r="A77" s="6" t="s">
        <v>145</v>
      </c>
      <c r="B77" s="6" t="s">
        <v>178</v>
      </c>
      <c r="C77" s="6" t="s">
        <v>146</v>
      </c>
      <c r="D77" s="7">
        <v>1.48</v>
      </c>
      <c r="E77" s="8">
        <v>42.79</v>
      </c>
    </row>
    <row r="78" spans="1:6">
      <c r="A78" s="204" t="s">
        <v>7</v>
      </c>
      <c r="B78" s="6"/>
      <c r="C78" s="6"/>
      <c r="D78" s="207">
        <f>SUM(D77)</f>
        <v>1.48</v>
      </c>
      <c r="E78" s="206">
        <f>SUM(E77)</f>
        <v>42.79</v>
      </c>
    </row>
    <row r="79" spans="1:6">
      <c r="A79" s="6"/>
      <c r="B79" s="6"/>
      <c r="C79" s="6"/>
      <c r="D79" s="7"/>
      <c r="E79" s="8"/>
    </row>
    <row r="80" spans="1:6">
      <c r="A80" s="9" t="s">
        <v>276</v>
      </c>
      <c r="B80" s="212">
        <v>290051</v>
      </c>
      <c r="C80" s="9" t="s">
        <v>277</v>
      </c>
      <c r="D80" s="214">
        <v>20.52</v>
      </c>
      <c r="E80" s="215">
        <v>399.15</v>
      </c>
      <c r="F80" t="s">
        <v>265</v>
      </c>
    </row>
    <row r="81" spans="1:6">
      <c r="A81" s="212" t="s">
        <v>142</v>
      </c>
      <c r="B81" s="212">
        <v>290051</v>
      </c>
      <c r="C81" s="212" t="s">
        <v>277</v>
      </c>
      <c r="D81" s="214">
        <v>25.95</v>
      </c>
      <c r="E81" s="215">
        <v>389.25</v>
      </c>
      <c r="F81" t="s">
        <v>265</v>
      </c>
    </row>
    <row r="82" spans="1:6">
      <c r="A82" s="212" t="s">
        <v>215</v>
      </c>
      <c r="B82" s="212">
        <v>290051</v>
      </c>
      <c r="C82" s="212" t="s">
        <v>277</v>
      </c>
      <c r="D82" s="214">
        <v>20.149999999999999</v>
      </c>
      <c r="E82" s="215">
        <v>307.99</v>
      </c>
      <c r="F82" t="s">
        <v>265</v>
      </c>
    </row>
    <row r="83" spans="1:6">
      <c r="A83" s="212" t="s">
        <v>144</v>
      </c>
      <c r="B83" s="212">
        <v>290051</v>
      </c>
      <c r="C83" s="212" t="s">
        <v>277</v>
      </c>
      <c r="D83" s="214">
        <v>30.45</v>
      </c>
      <c r="E83" s="215">
        <v>538.04999999999995</v>
      </c>
      <c r="F83" t="s">
        <v>265</v>
      </c>
    </row>
    <row r="84" spans="1:6">
      <c r="A84" s="204" t="s">
        <v>7</v>
      </c>
      <c r="B84" s="6"/>
      <c r="C84" s="6"/>
      <c r="D84" s="207">
        <f>SUM(D80:D83)</f>
        <v>97.070000000000007</v>
      </c>
      <c r="E84" s="206">
        <f>SUM(E80:E83)</f>
        <v>1634.4399999999998</v>
      </c>
    </row>
    <row r="85" spans="1:6">
      <c r="A85" s="204"/>
      <c r="B85" s="6"/>
      <c r="C85" s="6"/>
      <c r="D85" s="7"/>
      <c r="E85" s="8"/>
    </row>
    <row r="86" spans="1:6">
      <c r="A86" s="6" t="s">
        <v>95</v>
      </c>
      <c r="B86" s="6" t="s">
        <v>180</v>
      </c>
      <c r="C86" s="6" t="s">
        <v>96</v>
      </c>
      <c r="D86" s="7">
        <v>3.05</v>
      </c>
      <c r="E86" s="8">
        <v>82.3</v>
      </c>
    </row>
    <row r="87" spans="1:6">
      <c r="A87" s="204" t="s">
        <v>7</v>
      </c>
      <c r="B87" s="6"/>
      <c r="C87" s="6"/>
      <c r="D87" s="207">
        <f>SUM(D86)</f>
        <v>3.05</v>
      </c>
      <c r="E87" s="206">
        <f>SUM(E86)</f>
        <v>82.3</v>
      </c>
    </row>
    <row r="88" spans="1:6">
      <c r="A88" s="6"/>
      <c r="B88" s="6"/>
      <c r="C88" s="6"/>
      <c r="D88" s="7"/>
      <c r="E88" s="8"/>
    </row>
    <row r="89" spans="1:6">
      <c r="A89" s="2" t="s">
        <v>244</v>
      </c>
      <c r="B89" s="6">
        <v>400020</v>
      </c>
      <c r="C89" s="2" t="s">
        <v>98</v>
      </c>
      <c r="D89" s="7">
        <v>2.12</v>
      </c>
      <c r="E89" s="8">
        <v>50.8</v>
      </c>
    </row>
    <row r="90" spans="1:6">
      <c r="A90" s="6" t="s">
        <v>97</v>
      </c>
      <c r="B90" s="6" t="s">
        <v>181</v>
      </c>
      <c r="C90" s="6" t="s">
        <v>98</v>
      </c>
      <c r="D90" s="7">
        <v>1.72</v>
      </c>
      <c r="E90" s="8">
        <v>51.01</v>
      </c>
    </row>
    <row r="91" spans="1:6">
      <c r="A91" s="204" t="s">
        <v>7</v>
      </c>
      <c r="B91" s="6"/>
      <c r="C91" s="6"/>
      <c r="D91" s="207">
        <f>SUM(D89:D90)</f>
        <v>3.84</v>
      </c>
      <c r="E91" s="206">
        <f>SUM(E89:E90)</f>
        <v>101.81</v>
      </c>
    </row>
    <row r="92" spans="1:6">
      <c r="A92" s="6"/>
      <c r="B92" s="6"/>
      <c r="C92" s="6"/>
      <c r="D92" s="7"/>
      <c r="E92" s="8"/>
    </row>
    <row r="93" spans="1:6">
      <c r="A93" s="222" t="s">
        <v>100</v>
      </c>
      <c r="B93" s="222" t="s">
        <v>182</v>
      </c>
      <c r="C93" s="222" t="s">
        <v>101</v>
      </c>
      <c r="D93" s="224">
        <v>13.1</v>
      </c>
      <c r="E93" s="225">
        <v>379.83</v>
      </c>
      <c r="F93" s="6" t="s">
        <v>273</v>
      </c>
    </row>
    <row r="94" spans="1:6">
      <c r="A94" s="204" t="s">
        <v>7</v>
      </c>
      <c r="B94" s="6"/>
      <c r="C94" s="6"/>
      <c r="D94" s="207">
        <f>SUM(D93)</f>
        <v>13.1</v>
      </c>
      <c r="E94" s="206">
        <f>SUM(E93)</f>
        <v>379.83</v>
      </c>
    </row>
    <row r="95" spans="1:6">
      <c r="A95" s="204"/>
      <c r="B95" s="6"/>
      <c r="C95" s="6"/>
      <c r="D95" s="207"/>
      <c r="E95" s="206"/>
    </row>
    <row r="96" spans="1:6">
      <c r="A96" s="226" t="s">
        <v>245</v>
      </c>
      <c r="B96" s="226">
        <v>450044</v>
      </c>
      <c r="C96" s="226" t="s">
        <v>134</v>
      </c>
      <c r="D96" s="227">
        <v>7.82</v>
      </c>
      <c r="E96" s="228">
        <v>164.15</v>
      </c>
      <c r="F96" s="10" t="s">
        <v>278</v>
      </c>
    </row>
    <row r="97" spans="1:6">
      <c r="A97" s="204" t="s">
        <v>7</v>
      </c>
      <c r="B97" s="6"/>
      <c r="C97" s="6"/>
      <c r="D97" s="207">
        <v>7.82</v>
      </c>
      <c r="E97" s="206">
        <v>164.15</v>
      </c>
    </row>
    <row r="98" spans="1:6">
      <c r="A98" s="6"/>
      <c r="B98" s="6"/>
      <c r="C98" s="6"/>
      <c r="D98" s="7"/>
      <c r="E98" s="8"/>
    </row>
    <row r="99" spans="1:6">
      <c r="A99" s="6" t="s">
        <v>110</v>
      </c>
      <c r="B99" s="6">
        <v>450051</v>
      </c>
      <c r="C99" s="6" t="s">
        <v>279</v>
      </c>
      <c r="D99" s="7">
        <v>0.13</v>
      </c>
      <c r="E99" s="8">
        <v>2.25</v>
      </c>
    </row>
    <row r="100" spans="1:6">
      <c r="A100" s="226" t="s">
        <v>227</v>
      </c>
      <c r="B100" s="226">
        <v>450051</v>
      </c>
      <c r="C100" s="226" t="s">
        <v>279</v>
      </c>
      <c r="D100" s="227">
        <v>6.55</v>
      </c>
      <c r="E100" s="228">
        <v>93.34</v>
      </c>
      <c r="F100" s="10" t="s">
        <v>280</v>
      </c>
    </row>
    <row r="101" spans="1:6">
      <c r="A101" s="204" t="s">
        <v>7</v>
      </c>
      <c r="B101" s="6"/>
      <c r="C101" s="6"/>
      <c r="D101" s="207">
        <f>SUM(D99:D100)</f>
        <v>6.68</v>
      </c>
      <c r="E101" s="206">
        <f>SUM(E99:E100)</f>
        <v>95.59</v>
      </c>
    </row>
    <row r="102" spans="1:6">
      <c r="A102" s="204"/>
      <c r="B102" s="6"/>
      <c r="C102" s="6"/>
      <c r="D102" s="207"/>
      <c r="E102" s="206"/>
    </row>
    <row r="103" spans="1:6">
      <c r="A103" s="226" t="s">
        <v>124</v>
      </c>
      <c r="B103" s="226">
        <v>450052</v>
      </c>
      <c r="C103" s="226" t="s">
        <v>281</v>
      </c>
      <c r="D103" s="227">
        <v>6.58</v>
      </c>
      <c r="E103" s="228">
        <v>148.13</v>
      </c>
      <c r="F103" s="10" t="s">
        <v>280</v>
      </c>
    </row>
    <row r="104" spans="1:6">
      <c r="A104" s="204" t="s">
        <v>7</v>
      </c>
      <c r="B104" s="6"/>
      <c r="C104" s="6"/>
      <c r="D104" s="207">
        <f>SUM(D103)</f>
        <v>6.58</v>
      </c>
      <c r="E104" s="206">
        <f>SUM(E103)</f>
        <v>148.13</v>
      </c>
    </row>
    <row r="105" spans="1:6">
      <c r="A105" s="6"/>
      <c r="B105" s="6"/>
      <c r="C105" s="6"/>
      <c r="D105" s="7"/>
      <c r="E105" s="8"/>
    </row>
    <row r="106" spans="1:6">
      <c r="A106" s="2" t="s">
        <v>130</v>
      </c>
      <c r="B106" s="6">
        <v>450049</v>
      </c>
      <c r="C106" s="2" t="s">
        <v>129</v>
      </c>
      <c r="D106" s="7">
        <v>0.15</v>
      </c>
      <c r="E106" s="8">
        <v>2.48</v>
      </c>
    </row>
    <row r="107" spans="1:6">
      <c r="A107" s="226" t="s">
        <v>282</v>
      </c>
      <c r="B107" s="226">
        <v>450049</v>
      </c>
      <c r="C107" s="226" t="s">
        <v>129</v>
      </c>
      <c r="D107" s="227">
        <v>8.0500000000000007</v>
      </c>
      <c r="E107" s="228">
        <v>194.29</v>
      </c>
      <c r="F107" s="10" t="s">
        <v>283</v>
      </c>
    </row>
    <row r="108" spans="1:6">
      <c r="A108" s="204" t="s">
        <v>7</v>
      </c>
      <c r="B108" s="6"/>
      <c r="C108" s="6"/>
      <c r="D108" s="207">
        <f>SUM(D106:D107)</f>
        <v>8.2000000000000011</v>
      </c>
      <c r="E108" s="206">
        <f>SUM(E106:E107)</f>
        <v>196.76999999999998</v>
      </c>
    </row>
    <row r="109" spans="1:6">
      <c r="A109" s="6"/>
      <c r="B109" s="6"/>
      <c r="C109" s="6"/>
      <c r="D109" s="7"/>
      <c r="E109" s="8"/>
    </row>
    <row r="110" spans="1:6">
      <c r="A110" s="6" t="s">
        <v>41</v>
      </c>
      <c r="B110" s="6">
        <v>500052</v>
      </c>
      <c r="C110" s="6" t="s">
        <v>284</v>
      </c>
      <c r="D110" s="7">
        <v>2.48</v>
      </c>
      <c r="E110" s="8">
        <v>58.67</v>
      </c>
    </row>
    <row r="111" spans="1:6">
      <c r="A111" s="204" t="s">
        <v>7</v>
      </c>
      <c r="D111" s="229">
        <f>SUM(D110)</f>
        <v>2.48</v>
      </c>
      <c r="E111" s="206">
        <f>SUM(E110)</f>
        <v>58.67</v>
      </c>
    </row>
    <row r="112" spans="1:6">
      <c r="A112" s="204"/>
      <c r="D112" s="4"/>
      <c r="E112" s="206"/>
    </row>
    <row r="113" spans="1:5">
      <c r="A113" s="1" t="s">
        <v>194</v>
      </c>
      <c r="D113" s="207">
        <f>D8+D11+D16+D19+D23+D35+D40+D47+D50+D53+D59+D63+D67+D72+D75+D78+D84+D87+D91+D94+D97+D101+D104+D108+D111</f>
        <v>486.69099999999997</v>
      </c>
      <c r="E113" s="207">
        <f>E8+E11+E16+E19+E23+E35+E40+E47+E50+E53+E59+E63+E67+E72+E75+E78+E84+E87+E91+E94+E97+E101+E104+E108+E111</f>
        <v>10342.489999999998</v>
      </c>
    </row>
  </sheetData>
  <mergeCells count="1">
    <mergeCell ref="G4:K4"/>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3"/>
  <sheetViews>
    <sheetView workbookViewId="0">
      <selection activeCell="G1" sqref="G1:J4"/>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58" style="18" bestFit="1" customWidth="1"/>
    <col min="7" max="7" width="15.140625" style="18" customWidth="1"/>
    <col min="8" max="8" width="14.5703125" style="18" customWidth="1"/>
    <col min="9" max="9" width="11.7109375" style="18" customWidth="1"/>
    <col min="10" max="10" width="15.5703125" style="18" customWidth="1"/>
    <col min="11" max="16384" width="9.140625" style="18"/>
  </cols>
  <sheetData>
    <row r="1" spans="1:11">
      <c r="A1" s="19" t="s">
        <v>147</v>
      </c>
      <c r="B1" s="19" t="s">
        <v>148</v>
      </c>
      <c r="C1" s="19" t="s">
        <v>149</v>
      </c>
      <c r="D1" s="19" t="s">
        <v>150</v>
      </c>
      <c r="E1" s="19" t="s">
        <v>151</v>
      </c>
      <c r="F1" s="11" t="s">
        <v>258</v>
      </c>
      <c r="G1" s="38" t="s">
        <v>259</v>
      </c>
      <c r="H1" s="40" t="s">
        <v>260</v>
      </c>
      <c r="I1" s="39" t="s">
        <v>261</v>
      </c>
      <c r="J1" s="42" t="s">
        <v>262</v>
      </c>
    </row>
    <row r="2" spans="1:11">
      <c r="A2" s="20" t="s">
        <v>20</v>
      </c>
      <c r="B2" s="20" t="s">
        <v>152</v>
      </c>
      <c r="C2" s="20" t="s">
        <v>15</v>
      </c>
      <c r="D2" s="21">
        <v>2.2000000000000002</v>
      </c>
      <c r="E2" s="22">
        <v>57.78</v>
      </c>
      <c r="G2" s="13">
        <f>E27+E32</f>
        <v>795.18000000000006</v>
      </c>
      <c r="H2" s="51">
        <f>E49+E65</f>
        <v>446.63</v>
      </c>
      <c r="I2" s="52">
        <f>E68</f>
        <v>106.4</v>
      </c>
      <c r="J2" s="43">
        <f>E39</f>
        <v>226.63</v>
      </c>
    </row>
    <row r="3" spans="1:11">
      <c r="A3" s="20" t="s">
        <v>18</v>
      </c>
      <c r="B3" s="20" t="s">
        <v>152</v>
      </c>
      <c r="C3" s="20" t="s">
        <v>15</v>
      </c>
      <c r="D3" s="21">
        <v>0.28000000000000003</v>
      </c>
      <c r="E3" s="22">
        <v>7.89</v>
      </c>
    </row>
    <row r="4" spans="1:11">
      <c r="A4" s="20" t="s">
        <v>19</v>
      </c>
      <c r="B4" s="23" t="s">
        <v>152</v>
      </c>
      <c r="C4" s="20" t="s">
        <v>15</v>
      </c>
      <c r="D4" s="21">
        <v>2.65</v>
      </c>
      <c r="E4" s="22">
        <v>79.099999999999994</v>
      </c>
      <c r="G4" s="305" t="s">
        <v>263</v>
      </c>
      <c r="H4" s="306"/>
      <c r="I4" s="306"/>
      <c r="J4" s="306"/>
      <c r="K4" s="11"/>
    </row>
    <row r="5" spans="1:11">
      <c r="A5" s="20" t="s">
        <v>21</v>
      </c>
      <c r="B5" s="20" t="s">
        <v>152</v>
      </c>
      <c r="C5" s="20" t="s">
        <v>15</v>
      </c>
      <c r="D5" s="21">
        <v>0.78</v>
      </c>
      <c r="E5" s="22">
        <v>25.18</v>
      </c>
    </row>
    <row r="6" spans="1:11">
      <c r="A6" s="20" t="s">
        <v>16</v>
      </c>
      <c r="B6" s="23" t="s">
        <v>152</v>
      </c>
      <c r="C6" s="20" t="s">
        <v>15</v>
      </c>
      <c r="D6" s="21">
        <v>3.68</v>
      </c>
      <c r="E6" s="22">
        <v>92.49</v>
      </c>
    </row>
    <row r="7" spans="1:11">
      <c r="A7" s="19" t="s">
        <v>7</v>
      </c>
      <c r="B7" s="20"/>
      <c r="C7" s="20"/>
      <c r="D7" s="24">
        <f>SUM(D2:D6)</f>
        <v>9.5900000000000016</v>
      </c>
      <c r="E7" s="25">
        <f>SUM(E2:E6)</f>
        <v>262.44</v>
      </c>
    </row>
    <row r="8" spans="1:11">
      <c r="A8" s="20"/>
      <c r="B8" s="20"/>
      <c r="C8" s="20"/>
      <c r="D8" s="21"/>
      <c r="E8" s="22"/>
    </row>
    <row r="9" spans="1:11">
      <c r="A9" s="20" t="s">
        <v>28</v>
      </c>
      <c r="B9" s="23" t="s">
        <v>217</v>
      </c>
      <c r="C9" s="20" t="s">
        <v>218</v>
      </c>
      <c r="D9" s="21">
        <v>0.9</v>
      </c>
      <c r="E9" s="22">
        <v>24.98</v>
      </c>
    </row>
    <row r="10" spans="1:11">
      <c r="A10" s="19" t="s">
        <v>7</v>
      </c>
      <c r="B10" s="20"/>
      <c r="C10" s="20"/>
      <c r="D10" s="26">
        <v>0.9</v>
      </c>
      <c r="E10" s="25">
        <v>24.98</v>
      </c>
    </row>
    <row r="11" spans="1:11">
      <c r="A11" s="19"/>
      <c r="B11" s="20"/>
      <c r="C11" s="20"/>
      <c r="D11" s="26"/>
      <c r="E11" s="25"/>
    </row>
    <row r="12" spans="1:11">
      <c r="A12" s="20"/>
      <c r="B12" s="20"/>
      <c r="C12" s="20"/>
      <c r="D12" s="21"/>
      <c r="E12" s="22"/>
    </row>
    <row r="13" spans="1:11">
      <c r="A13" s="20" t="s">
        <v>30</v>
      </c>
      <c r="B13" s="20" t="s">
        <v>155</v>
      </c>
      <c r="C13" s="20" t="s">
        <v>31</v>
      </c>
      <c r="D13" s="21">
        <v>0.35</v>
      </c>
      <c r="E13" s="22">
        <v>9.19</v>
      </c>
    </row>
    <row r="14" spans="1:11">
      <c r="A14" s="20" t="s">
        <v>195</v>
      </c>
      <c r="B14" s="23" t="s">
        <v>155</v>
      </c>
      <c r="C14" s="20" t="s">
        <v>196</v>
      </c>
      <c r="D14" s="21">
        <v>1.43</v>
      </c>
      <c r="E14" s="22">
        <v>43</v>
      </c>
    </row>
    <row r="15" spans="1:11">
      <c r="A15" s="19" t="s">
        <v>7</v>
      </c>
      <c r="B15" s="20"/>
      <c r="C15" s="20"/>
      <c r="D15" s="26">
        <f>SUM(D13:D14)</f>
        <v>1.7799999999999998</v>
      </c>
      <c r="E15" s="25">
        <f>SUM(E13:E14)</f>
        <v>52.19</v>
      </c>
    </row>
    <row r="16" spans="1:11">
      <c r="A16" s="19"/>
      <c r="B16" s="20"/>
      <c r="C16" s="20"/>
      <c r="D16" s="26"/>
      <c r="E16" s="25"/>
    </row>
    <row r="17" spans="1:6">
      <c r="A17" s="20" t="s">
        <v>14</v>
      </c>
      <c r="B17" s="23" t="s">
        <v>156</v>
      </c>
      <c r="C17" s="20" t="s">
        <v>91</v>
      </c>
      <c r="D17" s="21">
        <v>1.65</v>
      </c>
      <c r="E17" s="22">
        <v>42.08</v>
      </c>
    </row>
    <row r="18" spans="1:6">
      <c r="A18" s="19" t="s">
        <v>7</v>
      </c>
      <c r="B18" s="20"/>
      <c r="C18" s="20"/>
      <c r="D18" s="26">
        <v>1.65</v>
      </c>
      <c r="E18" s="25">
        <v>42.08</v>
      </c>
    </row>
    <row r="19" spans="1:6">
      <c r="A19" s="20"/>
      <c r="B19" s="20"/>
      <c r="C19" s="20"/>
      <c r="D19" s="21"/>
      <c r="E19" s="22"/>
    </row>
    <row r="20" spans="1:6">
      <c r="A20" s="20" t="s">
        <v>85</v>
      </c>
      <c r="B20" s="23" t="s">
        <v>157</v>
      </c>
      <c r="C20" s="20" t="s">
        <v>66</v>
      </c>
      <c r="D20" s="21">
        <v>1.4</v>
      </c>
      <c r="E20" s="22">
        <v>32.51</v>
      </c>
    </row>
    <row r="21" spans="1:6">
      <c r="A21" s="20" t="s">
        <v>35</v>
      </c>
      <c r="B21" s="20" t="s">
        <v>157</v>
      </c>
      <c r="C21" s="20" t="s">
        <v>66</v>
      </c>
      <c r="D21" s="21">
        <v>0.97</v>
      </c>
      <c r="E21" s="22">
        <v>21.75</v>
      </c>
    </row>
    <row r="22" spans="1:6">
      <c r="A22" s="20" t="s">
        <v>251</v>
      </c>
      <c r="B22" s="23" t="s">
        <v>157</v>
      </c>
      <c r="C22" s="20" t="s">
        <v>66</v>
      </c>
      <c r="D22" s="21">
        <v>0.55000000000000004</v>
      </c>
      <c r="E22" s="22">
        <v>10.73</v>
      </c>
    </row>
    <row r="23" spans="1:6">
      <c r="A23" s="19" t="s">
        <v>7</v>
      </c>
      <c r="B23" s="20"/>
      <c r="C23" s="20"/>
      <c r="D23" s="26">
        <f>SUM(D20:D22)</f>
        <v>2.92</v>
      </c>
      <c r="E23" s="25">
        <f>SUM(E20:E22)</f>
        <v>64.989999999999995</v>
      </c>
    </row>
    <row r="24" spans="1:6">
      <c r="A24" s="19"/>
      <c r="B24" s="20"/>
      <c r="C24" s="20"/>
      <c r="D24" s="26"/>
      <c r="E24" s="25"/>
    </row>
    <row r="25" spans="1:6">
      <c r="A25" s="20" t="s">
        <v>268</v>
      </c>
      <c r="B25" s="23" t="s">
        <v>162</v>
      </c>
      <c r="C25" s="20" t="s">
        <v>51</v>
      </c>
      <c r="D25" s="21">
        <v>3.4</v>
      </c>
      <c r="E25" s="22">
        <v>86.7</v>
      </c>
    </row>
    <row r="26" spans="1:6">
      <c r="A26" s="20" t="s">
        <v>52</v>
      </c>
      <c r="B26" s="23" t="s">
        <v>162</v>
      </c>
      <c r="C26" s="20" t="s">
        <v>51</v>
      </c>
      <c r="D26" s="21">
        <v>3.8</v>
      </c>
      <c r="E26" s="22">
        <v>82.65</v>
      </c>
    </row>
    <row r="27" spans="1:6">
      <c r="A27" s="27" t="s">
        <v>163</v>
      </c>
      <c r="B27" s="28" t="s">
        <v>162</v>
      </c>
      <c r="C27" s="27" t="s">
        <v>51</v>
      </c>
      <c r="D27" s="29">
        <v>27.5</v>
      </c>
      <c r="E27" s="30">
        <v>660</v>
      </c>
      <c r="F27" s="31" t="s">
        <v>269</v>
      </c>
    </row>
    <row r="28" spans="1:6">
      <c r="A28" s="19" t="s">
        <v>7</v>
      </c>
      <c r="B28" s="20"/>
      <c r="C28" s="20"/>
      <c r="D28" s="26">
        <f>SUM(D25:D27)</f>
        <v>34.700000000000003</v>
      </c>
      <c r="E28" s="25">
        <f>SUM(E25:E27)</f>
        <v>829.35</v>
      </c>
    </row>
    <row r="29" spans="1:6">
      <c r="A29" s="19"/>
      <c r="B29" s="20"/>
      <c r="C29" s="20"/>
      <c r="D29" s="21"/>
      <c r="E29" s="22"/>
    </row>
    <row r="30" spans="1:6">
      <c r="A30" s="20" t="s">
        <v>249</v>
      </c>
      <c r="B30" s="23" t="s">
        <v>167</v>
      </c>
      <c r="C30" s="20" t="s">
        <v>54</v>
      </c>
      <c r="D30" s="21">
        <v>0.88</v>
      </c>
      <c r="E30" s="22">
        <v>18.55</v>
      </c>
    </row>
    <row r="31" spans="1:6">
      <c r="A31" s="20" t="s">
        <v>254</v>
      </c>
      <c r="B31" s="23" t="s">
        <v>167</v>
      </c>
      <c r="C31" s="20" t="s">
        <v>54</v>
      </c>
      <c r="D31" s="21">
        <v>0.45</v>
      </c>
      <c r="E31" s="22">
        <v>9.4499999999999993</v>
      </c>
    </row>
    <row r="32" spans="1:6">
      <c r="A32" s="27" t="s">
        <v>38</v>
      </c>
      <c r="B32" s="28" t="s">
        <v>167</v>
      </c>
      <c r="C32" s="27" t="s">
        <v>54</v>
      </c>
      <c r="D32" s="29">
        <v>5.7</v>
      </c>
      <c r="E32" s="30">
        <v>135.18</v>
      </c>
      <c r="F32" s="31" t="s">
        <v>285</v>
      </c>
    </row>
    <row r="33" spans="1:6">
      <c r="A33" s="19" t="s">
        <v>7</v>
      </c>
      <c r="B33" s="20"/>
      <c r="C33" s="20"/>
      <c r="D33" s="26">
        <f>SUM(D30:D32)</f>
        <v>7.03</v>
      </c>
      <c r="E33" s="25">
        <f>SUM(E30:E32)</f>
        <v>163.18</v>
      </c>
    </row>
    <row r="34" spans="1:6">
      <c r="A34" s="19"/>
      <c r="B34" s="20"/>
      <c r="C34" s="20"/>
      <c r="D34" s="21"/>
      <c r="E34" s="22"/>
    </row>
    <row r="35" spans="1:6">
      <c r="A35" s="20" t="s">
        <v>239</v>
      </c>
      <c r="B35" s="23" t="s">
        <v>240</v>
      </c>
      <c r="C35" s="20" t="s">
        <v>241</v>
      </c>
      <c r="D35" s="21">
        <v>0.53</v>
      </c>
      <c r="E35" s="22">
        <v>12.8</v>
      </c>
    </row>
    <row r="36" spans="1:6">
      <c r="A36" s="19" t="s">
        <v>7</v>
      </c>
      <c r="B36" s="20"/>
      <c r="C36" s="20"/>
      <c r="D36" s="26">
        <f>SUM(D35)</f>
        <v>0.53</v>
      </c>
      <c r="E36" s="25">
        <f>SUM(E35)</f>
        <v>12.8</v>
      </c>
    </row>
    <row r="37" spans="1:6">
      <c r="A37" s="20"/>
      <c r="B37" s="20"/>
      <c r="C37" s="20"/>
      <c r="D37" s="21"/>
      <c r="E37" s="22"/>
    </row>
    <row r="38" spans="1:6">
      <c r="A38" s="20" t="s">
        <v>286</v>
      </c>
      <c r="B38" s="23" t="s">
        <v>171</v>
      </c>
      <c r="C38" s="20" t="s">
        <v>25</v>
      </c>
      <c r="D38" s="21">
        <v>0.8</v>
      </c>
      <c r="E38" s="22">
        <v>20.399999999999999</v>
      </c>
    </row>
    <row r="39" spans="1:6">
      <c r="A39" s="44" t="s">
        <v>229</v>
      </c>
      <c r="B39" s="44" t="s">
        <v>171</v>
      </c>
      <c r="C39" s="44" t="s">
        <v>25</v>
      </c>
      <c r="D39" s="45">
        <v>8.6300000000000008</v>
      </c>
      <c r="E39" s="46">
        <v>226.63</v>
      </c>
      <c r="F39" s="31" t="s">
        <v>271</v>
      </c>
    </row>
    <row r="40" spans="1:6">
      <c r="A40" s="20" t="s">
        <v>222</v>
      </c>
      <c r="B40" s="23" t="s">
        <v>171</v>
      </c>
      <c r="C40" s="20" t="s">
        <v>25</v>
      </c>
      <c r="D40" s="21">
        <v>3.9</v>
      </c>
      <c r="E40" s="22">
        <v>102.38</v>
      </c>
    </row>
    <row r="41" spans="1:6">
      <c r="A41" s="20" t="s">
        <v>26</v>
      </c>
      <c r="B41" s="20" t="s">
        <v>171</v>
      </c>
      <c r="C41" s="20" t="s">
        <v>25</v>
      </c>
      <c r="D41" s="21">
        <v>2.0699999999999998</v>
      </c>
      <c r="E41" s="22">
        <v>55.8</v>
      </c>
    </row>
    <row r="42" spans="1:6">
      <c r="A42" s="20" t="s">
        <v>223</v>
      </c>
      <c r="B42" s="23" t="s">
        <v>171</v>
      </c>
      <c r="C42" s="20" t="s">
        <v>25</v>
      </c>
      <c r="D42" s="21">
        <v>1.42</v>
      </c>
      <c r="E42" s="22">
        <v>36.130000000000003</v>
      </c>
    </row>
    <row r="43" spans="1:6">
      <c r="A43" s="19" t="s">
        <v>7</v>
      </c>
      <c r="B43" s="20"/>
      <c r="C43" s="20"/>
      <c r="D43" s="26">
        <f>SUM(D38:D42)</f>
        <v>16.82</v>
      </c>
      <c r="E43" s="25">
        <f>SUM(E38:E42)</f>
        <v>441.34</v>
      </c>
    </row>
    <row r="44" spans="1:6">
      <c r="A44" s="20"/>
      <c r="B44" s="20"/>
      <c r="C44" s="20"/>
      <c r="D44" s="21"/>
      <c r="E44" s="22"/>
    </row>
    <row r="45" spans="1:6">
      <c r="A45" s="20" t="s">
        <v>11</v>
      </c>
      <c r="B45" s="23" t="s">
        <v>172</v>
      </c>
      <c r="C45" s="20" t="s">
        <v>12</v>
      </c>
      <c r="D45" s="21">
        <v>0.5</v>
      </c>
      <c r="E45" s="22">
        <v>16.61</v>
      </c>
    </row>
    <row r="46" spans="1:6">
      <c r="A46" s="20" t="s">
        <v>13</v>
      </c>
      <c r="B46" s="20" t="s">
        <v>172</v>
      </c>
      <c r="C46" s="20" t="s">
        <v>12</v>
      </c>
      <c r="D46" s="21">
        <v>0.8</v>
      </c>
      <c r="E46" s="22">
        <v>29.71</v>
      </c>
    </row>
    <row r="47" spans="1:6">
      <c r="A47" s="19" t="s">
        <v>7</v>
      </c>
      <c r="B47" s="20"/>
      <c r="C47" s="20"/>
      <c r="D47" s="26">
        <f>SUM(D45:D46)</f>
        <v>1.3</v>
      </c>
      <c r="E47" s="25">
        <f>SUM(E45:E46)</f>
        <v>46.32</v>
      </c>
    </row>
    <row r="48" spans="1:6">
      <c r="A48" s="19"/>
      <c r="B48" s="20"/>
      <c r="C48" s="20"/>
      <c r="D48" s="21"/>
      <c r="E48" s="22"/>
    </row>
    <row r="49" spans="1:6">
      <c r="A49" s="47" t="s">
        <v>205</v>
      </c>
      <c r="B49" s="48">
        <v>100035</v>
      </c>
      <c r="C49" s="47" t="s">
        <v>23</v>
      </c>
      <c r="D49" s="49">
        <v>10.15</v>
      </c>
      <c r="E49" s="50">
        <v>314.7</v>
      </c>
      <c r="F49" s="31" t="s">
        <v>287</v>
      </c>
    </row>
    <row r="50" spans="1:6">
      <c r="A50" s="19" t="s">
        <v>7</v>
      </c>
      <c r="B50" s="20"/>
      <c r="C50" s="20"/>
      <c r="D50" s="26">
        <f>SUM(D49:D49)</f>
        <v>10.15</v>
      </c>
      <c r="E50" s="25">
        <f>SUM(E49:E49)</f>
        <v>314.7</v>
      </c>
    </row>
    <row r="51" spans="1:6">
      <c r="A51" s="19"/>
      <c r="B51" s="20"/>
      <c r="C51" s="20"/>
      <c r="D51" s="21"/>
      <c r="E51" s="22"/>
    </row>
    <row r="52" spans="1:6">
      <c r="A52" s="20" t="s">
        <v>36</v>
      </c>
      <c r="B52" s="20">
        <v>100051</v>
      </c>
      <c r="C52" s="20" t="s">
        <v>34</v>
      </c>
      <c r="D52" s="21">
        <v>0.18</v>
      </c>
      <c r="E52" s="22">
        <v>3.85</v>
      </c>
    </row>
    <row r="53" spans="1:6">
      <c r="A53" s="19" t="s">
        <v>7</v>
      </c>
      <c r="B53" s="20"/>
      <c r="C53" s="20"/>
      <c r="D53" s="26">
        <f>SUM(D52:D52)</f>
        <v>0.18</v>
      </c>
      <c r="E53" s="25">
        <f>SUM(E52:E52)</f>
        <v>3.85</v>
      </c>
    </row>
    <row r="54" spans="1:6">
      <c r="A54" s="19"/>
      <c r="B54" s="20"/>
      <c r="C54" s="20"/>
      <c r="D54" s="26"/>
      <c r="E54" s="25"/>
    </row>
    <row r="55" spans="1:6">
      <c r="A55" s="20" t="s">
        <v>136</v>
      </c>
      <c r="B55" s="20">
        <v>250025</v>
      </c>
      <c r="C55" s="20" t="s">
        <v>275</v>
      </c>
      <c r="D55" s="21">
        <v>0.37</v>
      </c>
      <c r="E55" s="22">
        <v>10.76</v>
      </c>
    </row>
    <row r="56" spans="1:6">
      <c r="A56" s="19" t="s">
        <v>7</v>
      </c>
      <c r="B56" s="20"/>
      <c r="C56" s="20"/>
      <c r="D56" s="26">
        <v>0.37</v>
      </c>
      <c r="E56" s="25">
        <v>10.76</v>
      </c>
    </row>
    <row r="57" spans="1:6">
      <c r="A57" s="19"/>
      <c r="B57" s="20"/>
      <c r="C57" s="20"/>
      <c r="D57" s="21"/>
      <c r="E57" s="22"/>
    </row>
    <row r="58" spans="1:6">
      <c r="A58" s="20" t="s">
        <v>95</v>
      </c>
      <c r="B58" s="20" t="s">
        <v>180</v>
      </c>
      <c r="C58" s="20" t="s">
        <v>96</v>
      </c>
      <c r="D58" s="21">
        <v>3.28</v>
      </c>
      <c r="E58" s="22">
        <v>88.6</v>
      </c>
    </row>
    <row r="59" spans="1:6">
      <c r="A59" s="19" t="s">
        <v>7</v>
      </c>
      <c r="B59" s="20"/>
      <c r="C59" s="20"/>
      <c r="D59" s="26">
        <f>SUM(D58)</f>
        <v>3.28</v>
      </c>
      <c r="E59" s="25">
        <f>SUM(E58)</f>
        <v>88.6</v>
      </c>
    </row>
    <row r="60" spans="1:6">
      <c r="A60" s="20"/>
      <c r="B60" s="20"/>
      <c r="C60" s="20"/>
      <c r="D60" s="21"/>
      <c r="E60" s="22"/>
    </row>
    <row r="61" spans="1:6">
      <c r="A61" s="20" t="s">
        <v>244</v>
      </c>
      <c r="B61" s="20">
        <v>400020</v>
      </c>
      <c r="C61" s="20" t="s">
        <v>98</v>
      </c>
      <c r="D61" s="21">
        <v>0.93</v>
      </c>
      <c r="E61" s="22">
        <v>22.4</v>
      </c>
    </row>
    <row r="62" spans="1:6">
      <c r="A62" s="20" t="s">
        <v>97</v>
      </c>
      <c r="B62" s="20" t="s">
        <v>181</v>
      </c>
      <c r="C62" s="20" t="s">
        <v>98</v>
      </c>
      <c r="D62" s="21">
        <v>1.1299999999999999</v>
      </c>
      <c r="E62" s="22">
        <v>33.68</v>
      </c>
    </row>
    <row r="63" spans="1:6">
      <c r="A63" s="19" t="s">
        <v>7</v>
      </c>
      <c r="B63" s="20"/>
      <c r="C63" s="20"/>
      <c r="D63" s="26">
        <f>SUM(D61:D62)</f>
        <v>2.06</v>
      </c>
      <c r="E63" s="25">
        <f>SUM(E61:E62)</f>
        <v>56.08</v>
      </c>
    </row>
    <row r="64" spans="1:6">
      <c r="A64" s="20"/>
      <c r="B64" s="20"/>
      <c r="C64" s="20"/>
      <c r="D64" s="21"/>
      <c r="E64" s="22"/>
    </row>
    <row r="65" spans="1:6">
      <c r="A65" s="47" t="s">
        <v>100</v>
      </c>
      <c r="B65" s="47" t="s">
        <v>182</v>
      </c>
      <c r="C65" s="47" t="s">
        <v>101</v>
      </c>
      <c r="D65" s="49">
        <v>4.55</v>
      </c>
      <c r="E65" s="50">
        <v>131.93</v>
      </c>
      <c r="F65" s="31" t="s">
        <v>288</v>
      </c>
    </row>
    <row r="66" spans="1:6">
      <c r="A66" s="19" t="s">
        <v>7</v>
      </c>
      <c r="B66" s="20"/>
      <c r="C66" s="20"/>
      <c r="D66" s="26">
        <f>SUM(D65)</f>
        <v>4.55</v>
      </c>
      <c r="E66" s="25">
        <f>SUM(E65)</f>
        <v>131.93</v>
      </c>
    </row>
    <row r="67" spans="1:6">
      <c r="A67" s="19"/>
      <c r="B67" s="20"/>
      <c r="C67" s="20"/>
      <c r="D67" s="26"/>
      <c r="E67" s="25"/>
    </row>
    <row r="68" spans="1:6">
      <c r="A68" s="32" t="s">
        <v>245</v>
      </c>
      <c r="B68" s="32">
        <v>450044</v>
      </c>
      <c r="C68" s="32" t="s">
        <v>134</v>
      </c>
      <c r="D68" s="33">
        <v>5.07</v>
      </c>
      <c r="E68" s="34">
        <v>106.4</v>
      </c>
      <c r="F68" s="31" t="s">
        <v>289</v>
      </c>
    </row>
    <row r="69" spans="1:6">
      <c r="A69" s="19" t="s">
        <v>7</v>
      </c>
      <c r="B69" s="20"/>
      <c r="C69" s="20"/>
      <c r="D69" s="26">
        <v>5.07</v>
      </c>
      <c r="E69" s="25">
        <v>106.4</v>
      </c>
    </row>
    <row r="70" spans="1:6">
      <c r="A70" s="20"/>
      <c r="B70" s="20"/>
      <c r="C70" s="20"/>
      <c r="D70" s="21"/>
      <c r="E70" s="22"/>
    </row>
    <row r="71" spans="1:6">
      <c r="A71" s="19" t="s">
        <v>194</v>
      </c>
      <c r="B71" s="20"/>
      <c r="C71" s="20"/>
      <c r="D71" s="26">
        <f>D69+D66+D63+D59+D56+D53+D50+D47+D43+D36+D36+D33+D28+D23+D18+D15+D10+D7</f>
        <v>103.41000000000003</v>
      </c>
      <c r="E71" s="26">
        <f>E69+E66+E63+E59+E56+E53+E50+E47+E43+E36+E36+E33+E28+E23+E18+E15+E10+E7</f>
        <v>2664.79</v>
      </c>
    </row>
    <row r="72" spans="1:6">
      <c r="A72" s="20"/>
      <c r="B72" s="20"/>
      <c r="C72" s="20"/>
      <c r="D72" s="20"/>
      <c r="E72" s="20"/>
    </row>
    <row r="73" spans="1:6">
      <c r="A73" s="20"/>
      <c r="B73" s="20"/>
      <c r="C73" s="20"/>
      <c r="D73" s="20"/>
      <c r="E73" s="20"/>
    </row>
    <row r="74" spans="1:6">
      <c r="A74" s="20"/>
      <c r="B74" s="20"/>
      <c r="C74" s="20"/>
      <c r="D74" s="20"/>
      <c r="E74" s="20"/>
    </row>
    <row r="75" spans="1:6">
      <c r="A75" s="20"/>
      <c r="B75" s="20"/>
      <c r="C75" s="20"/>
      <c r="D75" s="20"/>
      <c r="E75" s="20"/>
    </row>
    <row r="76" spans="1:6">
      <c r="A76" s="20"/>
      <c r="B76" s="20"/>
      <c r="C76" s="20"/>
      <c r="D76" s="20"/>
      <c r="E76" s="20"/>
    </row>
    <row r="77" spans="1:6">
      <c r="A77" s="20"/>
      <c r="B77" s="20"/>
      <c r="C77" s="20"/>
      <c r="D77" s="20"/>
      <c r="E77" s="20"/>
    </row>
    <row r="78" spans="1:6">
      <c r="A78" s="20"/>
      <c r="B78" s="20"/>
      <c r="C78" s="20"/>
      <c r="D78" s="20"/>
      <c r="E78" s="20"/>
    </row>
    <row r="79" spans="1:6">
      <c r="A79" s="20"/>
      <c r="B79" s="20"/>
      <c r="C79" s="20"/>
      <c r="D79" s="20"/>
      <c r="E79" s="20"/>
    </row>
    <row r="80" spans="1:6">
      <c r="A80" s="20"/>
      <c r="B80" s="20"/>
      <c r="C80" s="20"/>
      <c r="D80" s="20"/>
      <c r="E80" s="20"/>
    </row>
    <row r="81" spans="1:5">
      <c r="A81" s="20"/>
      <c r="B81" s="20"/>
      <c r="C81" s="20"/>
      <c r="D81" s="20"/>
      <c r="E81" s="20"/>
    </row>
    <row r="82" spans="1:5">
      <c r="A82" s="20"/>
      <c r="B82" s="20"/>
      <c r="C82" s="20"/>
      <c r="D82" s="20"/>
      <c r="E82" s="20"/>
    </row>
    <row r="83" spans="1:5">
      <c r="A83" s="20"/>
      <c r="B83" s="20"/>
      <c r="C83" s="20"/>
      <c r="D83" s="20"/>
      <c r="E83" s="20"/>
    </row>
    <row r="84" spans="1:5">
      <c r="A84" s="20"/>
      <c r="B84" s="20"/>
      <c r="C84" s="20"/>
      <c r="D84" s="20"/>
      <c r="E84" s="20"/>
    </row>
    <row r="85" spans="1:5">
      <c r="A85" s="20"/>
      <c r="B85" s="20"/>
      <c r="C85" s="20"/>
      <c r="D85" s="20"/>
      <c r="E85" s="20"/>
    </row>
    <row r="86" spans="1:5">
      <c r="A86" s="20"/>
      <c r="B86" s="20"/>
      <c r="C86" s="20"/>
      <c r="D86" s="20"/>
      <c r="E86" s="20"/>
    </row>
    <row r="87" spans="1:5">
      <c r="A87" s="20"/>
      <c r="B87" s="20"/>
      <c r="C87" s="20"/>
      <c r="D87" s="20"/>
      <c r="E87" s="20"/>
    </row>
    <row r="88" spans="1:5">
      <c r="A88" s="20"/>
      <c r="B88" s="20"/>
      <c r="C88" s="20"/>
      <c r="D88" s="20"/>
      <c r="E88" s="20"/>
    </row>
    <row r="89" spans="1:5">
      <c r="A89" s="20"/>
      <c r="B89" s="20"/>
      <c r="C89" s="20"/>
      <c r="D89" s="20"/>
      <c r="E89" s="20"/>
    </row>
    <row r="90" spans="1:5">
      <c r="A90" s="20"/>
      <c r="B90" s="20"/>
      <c r="C90" s="20"/>
      <c r="D90" s="20"/>
      <c r="E90" s="20"/>
    </row>
    <row r="91" spans="1:5">
      <c r="A91" s="20"/>
      <c r="B91" s="20"/>
      <c r="C91" s="20"/>
      <c r="D91" s="20"/>
      <c r="E91" s="20"/>
    </row>
    <row r="92" spans="1:5">
      <c r="A92" s="20"/>
      <c r="B92" s="20"/>
      <c r="C92" s="20"/>
      <c r="D92" s="20"/>
      <c r="E92" s="20"/>
    </row>
    <row r="93" spans="1:5">
      <c r="A93" s="20"/>
      <c r="B93" s="20"/>
      <c r="C93" s="20"/>
      <c r="D93" s="20"/>
      <c r="E93" s="20"/>
    </row>
    <row r="94" spans="1:5">
      <c r="A94" s="20"/>
      <c r="B94" s="20"/>
      <c r="C94" s="20"/>
      <c r="D94" s="20"/>
      <c r="E94" s="20"/>
    </row>
    <row r="95" spans="1:5">
      <c r="A95" s="20"/>
      <c r="B95" s="20"/>
      <c r="C95" s="20"/>
      <c r="D95" s="20"/>
      <c r="E95" s="20"/>
    </row>
    <row r="96" spans="1:5">
      <c r="A96" s="20"/>
      <c r="B96" s="20"/>
      <c r="C96" s="20"/>
      <c r="D96" s="20"/>
      <c r="E96" s="20"/>
    </row>
    <row r="97" spans="1:5">
      <c r="A97" s="20"/>
      <c r="B97" s="20"/>
      <c r="C97" s="20"/>
      <c r="D97" s="20"/>
      <c r="E97" s="20"/>
    </row>
    <row r="98" spans="1:5">
      <c r="A98" s="20"/>
      <c r="B98" s="20"/>
      <c r="C98" s="20"/>
      <c r="D98" s="20"/>
      <c r="E98" s="20"/>
    </row>
    <row r="99" spans="1:5">
      <c r="A99" s="20"/>
      <c r="B99" s="20"/>
      <c r="C99" s="20"/>
      <c r="D99" s="20"/>
      <c r="E99" s="20"/>
    </row>
    <row r="100" spans="1:5">
      <c r="A100" s="20"/>
      <c r="B100" s="20"/>
      <c r="C100" s="20"/>
      <c r="D100" s="20"/>
      <c r="E100" s="20"/>
    </row>
    <row r="101" spans="1:5">
      <c r="A101" s="20"/>
      <c r="B101" s="20"/>
      <c r="C101" s="20"/>
      <c r="D101" s="20"/>
      <c r="E101" s="20"/>
    </row>
    <row r="102" spans="1:5">
      <c r="A102" s="20"/>
      <c r="B102" s="20"/>
      <c r="C102" s="20"/>
      <c r="D102" s="20"/>
      <c r="E102" s="20"/>
    </row>
    <row r="103" spans="1:5">
      <c r="A103" s="20"/>
      <c r="B103" s="20"/>
      <c r="C103" s="20"/>
      <c r="D103" s="20"/>
      <c r="E103" s="20"/>
    </row>
  </sheetData>
  <mergeCells count="1">
    <mergeCell ref="G4:J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27"/>
  <sheetViews>
    <sheetView topLeftCell="B1" workbookViewId="0">
      <selection activeCell="G1" sqref="G1:J4"/>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45.140625" style="18" customWidth="1"/>
    <col min="7" max="7" width="17.42578125" style="18" customWidth="1"/>
    <col min="8" max="8" width="12.140625" style="18" customWidth="1"/>
    <col min="9" max="9" width="11.7109375" style="18" customWidth="1"/>
    <col min="10" max="10" width="16.28515625" style="18" customWidth="1"/>
    <col min="11" max="16384" width="9.140625" style="18"/>
  </cols>
  <sheetData>
    <row r="1" spans="1:10">
      <c r="A1" s="19" t="s">
        <v>147</v>
      </c>
      <c r="B1" s="19" t="s">
        <v>148</v>
      </c>
      <c r="C1" s="19" t="s">
        <v>149</v>
      </c>
      <c r="D1" s="19" t="s">
        <v>150</v>
      </c>
      <c r="E1" s="19" t="s">
        <v>151</v>
      </c>
      <c r="F1" s="11" t="s">
        <v>258</v>
      </c>
      <c r="G1" s="307" t="s">
        <v>259</v>
      </c>
      <c r="H1" s="306"/>
      <c r="I1" s="306"/>
      <c r="J1" s="306"/>
    </row>
    <row r="2" spans="1:10">
      <c r="A2" s="20" t="s">
        <v>20</v>
      </c>
      <c r="B2" s="20" t="s">
        <v>152</v>
      </c>
      <c r="C2" s="20" t="s">
        <v>15</v>
      </c>
      <c r="D2" s="21">
        <v>1.68</v>
      </c>
      <c r="E2" s="22">
        <v>44.21</v>
      </c>
      <c r="G2" s="308">
        <f>E25+E26+E28+E32+E34+E35+E41+E42+E47+E68+E69+E70+E71+E72</f>
        <v>5155.4600000000009</v>
      </c>
      <c r="H2" s="305"/>
      <c r="I2" s="305"/>
      <c r="J2" s="305"/>
    </row>
    <row r="3" spans="1:10">
      <c r="A3" s="20" t="s">
        <v>18</v>
      </c>
      <c r="B3" s="20" t="s">
        <v>152</v>
      </c>
      <c r="C3" s="20" t="s">
        <v>15</v>
      </c>
      <c r="D3" s="21">
        <v>0.15</v>
      </c>
      <c r="E3" s="22">
        <v>4.18</v>
      </c>
    </row>
    <row r="4" spans="1:10">
      <c r="A4" s="20" t="s">
        <v>19</v>
      </c>
      <c r="B4" s="23" t="s">
        <v>152</v>
      </c>
      <c r="C4" s="20" t="s">
        <v>15</v>
      </c>
      <c r="D4" s="21">
        <v>1.67</v>
      </c>
      <c r="E4" s="22">
        <v>49.75</v>
      </c>
      <c r="G4" s="305" t="s">
        <v>263</v>
      </c>
      <c r="H4" s="306"/>
      <c r="I4" s="306"/>
      <c r="J4" s="306"/>
    </row>
    <row r="5" spans="1:10">
      <c r="A5" s="20" t="s">
        <v>17</v>
      </c>
      <c r="B5" s="23" t="s">
        <v>152</v>
      </c>
      <c r="C5" s="20" t="s">
        <v>15</v>
      </c>
      <c r="D5" s="21">
        <v>0.15</v>
      </c>
      <c r="E5" s="22">
        <v>3.77</v>
      </c>
    </row>
    <row r="6" spans="1:10">
      <c r="A6" s="20" t="s">
        <v>21</v>
      </c>
      <c r="B6" s="20" t="s">
        <v>152</v>
      </c>
      <c r="C6" s="20" t="s">
        <v>15</v>
      </c>
      <c r="D6" s="21">
        <v>0.93</v>
      </c>
      <c r="E6" s="22">
        <v>30</v>
      </c>
    </row>
    <row r="7" spans="1:10">
      <c r="A7" s="20" t="s">
        <v>16</v>
      </c>
      <c r="B7" s="23" t="s">
        <v>152</v>
      </c>
      <c r="C7" s="20" t="s">
        <v>15</v>
      </c>
      <c r="D7" s="21">
        <v>2.0299999999999998</v>
      </c>
      <c r="E7" s="22">
        <v>55.72</v>
      </c>
    </row>
    <row r="8" spans="1:10">
      <c r="A8" s="19" t="s">
        <v>7</v>
      </c>
      <c r="B8" s="20"/>
      <c r="C8" s="20"/>
      <c r="D8" s="24">
        <f>SUM(D2:D7)</f>
        <v>6.6099999999999994</v>
      </c>
      <c r="E8" s="25">
        <f>SUM(E2:E7)</f>
        <v>187.63</v>
      </c>
    </row>
    <row r="9" spans="1:10">
      <c r="A9" s="20"/>
      <c r="B9" s="20"/>
      <c r="C9" s="20"/>
      <c r="D9" s="21"/>
      <c r="E9" s="22"/>
    </row>
    <row r="10" spans="1:10">
      <c r="A10" s="20" t="s">
        <v>28</v>
      </c>
      <c r="B10" s="23" t="s">
        <v>217</v>
      </c>
      <c r="C10" s="20" t="s">
        <v>218</v>
      </c>
      <c r="D10" s="21">
        <v>0.3</v>
      </c>
      <c r="E10" s="22">
        <v>8.33</v>
      </c>
    </row>
    <row r="11" spans="1:10">
      <c r="A11" s="19" t="s">
        <v>7</v>
      </c>
      <c r="B11" s="20"/>
      <c r="C11" s="20"/>
      <c r="D11" s="26">
        <v>0.3</v>
      </c>
      <c r="E11" s="25">
        <v>8.33</v>
      </c>
    </row>
    <row r="12" spans="1:10">
      <c r="A12" s="19"/>
      <c r="B12" s="20"/>
      <c r="C12" s="20"/>
      <c r="D12" s="26"/>
      <c r="E12" s="25"/>
    </row>
    <row r="13" spans="1:10">
      <c r="A13" s="20" t="s">
        <v>22</v>
      </c>
      <c r="B13" s="23" t="s">
        <v>154</v>
      </c>
      <c r="C13" s="20" t="s">
        <v>23</v>
      </c>
      <c r="D13" s="21">
        <v>1.47</v>
      </c>
      <c r="E13" s="22">
        <v>44.66</v>
      </c>
    </row>
    <row r="14" spans="1:10">
      <c r="A14" s="19" t="s">
        <v>7</v>
      </c>
      <c r="B14" s="20"/>
      <c r="C14" s="20"/>
      <c r="D14" s="26">
        <v>1.47</v>
      </c>
      <c r="E14" s="25">
        <v>44.66</v>
      </c>
    </row>
    <row r="15" spans="1:10">
      <c r="A15" s="19"/>
      <c r="B15" s="20"/>
      <c r="C15" s="20"/>
      <c r="D15" s="26"/>
      <c r="E15" s="25"/>
    </row>
    <row r="16" spans="1:10">
      <c r="A16" s="20" t="s">
        <v>30</v>
      </c>
      <c r="B16" s="20" t="s">
        <v>155</v>
      </c>
      <c r="C16" s="20" t="s">
        <v>31</v>
      </c>
      <c r="D16" s="21">
        <v>0.3</v>
      </c>
      <c r="E16" s="22">
        <v>7.88</v>
      </c>
    </row>
    <row r="17" spans="1:6">
      <c r="A17" s="20" t="s">
        <v>195</v>
      </c>
      <c r="B17" s="23" t="s">
        <v>155</v>
      </c>
      <c r="C17" s="20" t="s">
        <v>196</v>
      </c>
      <c r="D17" s="21">
        <v>3.18</v>
      </c>
      <c r="E17" s="22">
        <v>95.5</v>
      </c>
    </row>
    <row r="18" spans="1:6">
      <c r="A18" s="19" t="s">
        <v>7</v>
      </c>
      <c r="B18" s="20"/>
      <c r="C18" s="20"/>
      <c r="D18" s="26">
        <f>SUM(D16:D17)</f>
        <v>3.48</v>
      </c>
      <c r="E18" s="25">
        <f>SUM(E16:E17)</f>
        <v>103.38</v>
      </c>
    </row>
    <row r="19" spans="1:6">
      <c r="A19" s="19"/>
      <c r="B19" s="20"/>
      <c r="C19" s="20"/>
      <c r="D19" s="26"/>
      <c r="E19" s="25"/>
    </row>
    <row r="20" spans="1:6">
      <c r="A20" s="20" t="s">
        <v>14</v>
      </c>
      <c r="B20" s="23" t="s">
        <v>156</v>
      </c>
      <c r="C20" s="20" t="s">
        <v>91</v>
      </c>
      <c r="D20" s="21">
        <v>0.02</v>
      </c>
      <c r="E20" s="22">
        <v>0.43</v>
      </c>
    </row>
    <row r="21" spans="1:6">
      <c r="A21" s="20" t="s">
        <v>94</v>
      </c>
      <c r="B21" s="23" t="s">
        <v>156</v>
      </c>
      <c r="C21" s="20" t="s">
        <v>91</v>
      </c>
      <c r="D21" s="21">
        <v>0.2</v>
      </c>
      <c r="E21" s="22">
        <v>5.55</v>
      </c>
    </row>
    <row r="22" spans="1:6">
      <c r="A22" s="20" t="s">
        <v>92</v>
      </c>
      <c r="B22" s="23" t="s">
        <v>156</v>
      </c>
      <c r="C22" s="20" t="s">
        <v>91</v>
      </c>
      <c r="D22" s="21">
        <v>0.42</v>
      </c>
      <c r="E22" s="22">
        <v>11.03</v>
      </c>
    </row>
    <row r="23" spans="1:6">
      <c r="A23" s="19" t="s">
        <v>7</v>
      </c>
      <c r="B23" s="20"/>
      <c r="C23" s="20"/>
      <c r="D23" s="26">
        <f>SUM(D20:D22)</f>
        <v>0.64</v>
      </c>
      <c r="E23" s="25">
        <f>SUM(E20:E22)</f>
        <v>17.009999999999998</v>
      </c>
    </row>
    <row r="24" spans="1:6">
      <c r="A24" s="20"/>
      <c r="B24" s="20"/>
      <c r="C24" s="20"/>
      <c r="D24" s="21"/>
      <c r="E24" s="22"/>
    </row>
    <row r="25" spans="1:6">
      <c r="A25" s="27" t="s">
        <v>290</v>
      </c>
      <c r="B25" s="28" t="s">
        <v>157</v>
      </c>
      <c r="C25" s="27" t="s">
        <v>66</v>
      </c>
      <c r="D25" s="29">
        <v>6.78</v>
      </c>
      <c r="E25" s="30">
        <v>132.28</v>
      </c>
      <c r="F25" s="31" t="s">
        <v>291</v>
      </c>
    </row>
    <row r="26" spans="1:6">
      <c r="A26" s="27" t="s">
        <v>228</v>
      </c>
      <c r="B26" s="27" t="s">
        <v>157</v>
      </c>
      <c r="C26" s="27" t="s">
        <v>66</v>
      </c>
      <c r="D26" s="29">
        <v>9.1</v>
      </c>
      <c r="E26" s="30">
        <v>177.45</v>
      </c>
      <c r="F26" s="31" t="s">
        <v>291</v>
      </c>
    </row>
    <row r="27" spans="1:6">
      <c r="A27" s="20" t="s">
        <v>75</v>
      </c>
      <c r="B27" s="23" t="s">
        <v>157</v>
      </c>
      <c r="C27" s="20" t="s">
        <v>66</v>
      </c>
      <c r="D27" s="21">
        <v>2.35</v>
      </c>
      <c r="E27" s="22">
        <v>45.83</v>
      </c>
    </row>
    <row r="28" spans="1:6">
      <c r="A28" s="27" t="s">
        <v>210</v>
      </c>
      <c r="B28" s="28" t="s">
        <v>157</v>
      </c>
      <c r="C28" s="27" t="s">
        <v>66</v>
      </c>
      <c r="D28" s="27">
        <v>4.83</v>
      </c>
      <c r="E28" s="30">
        <v>94.24</v>
      </c>
      <c r="F28" s="31" t="s">
        <v>291</v>
      </c>
    </row>
    <row r="29" spans="1:6">
      <c r="A29" s="20" t="s">
        <v>86</v>
      </c>
      <c r="B29" s="23" t="s">
        <v>157</v>
      </c>
      <c r="C29" s="20" t="s">
        <v>66</v>
      </c>
      <c r="D29" s="20">
        <v>1.55</v>
      </c>
      <c r="E29" s="22">
        <v>33.71</v>
      </c>
    </row>
    <row r="30" spans="1:6">
      <c r="A30" s="20" t="s">
        <v>84</v>
      </c>
      <c r="B30" s="23" t="s">
        <v>157</v>
      </c>
      <c r="C30" s="20" t="s">
        <v>66</v>
      </c>
      <c r="D30" s="20">
        <v>3.7</v>
      </c>
      <c r="E30" s="22">
        <v>72.150000000000006</v>
      </c>
    </row>
    <row r="31" spans="1:6">
      <c r="A31" s="20" t="s">
        <v>292</v>
      </c>
      <c r="B31" s="23" t="s">
        <v>157</v>
      </c>
      <c r="C31" s="20" t="s">
        <v>66</v>
      </c>
      <c r="D31" s="20">
        <v>0.33</v>
      </c>
      <c r="E31" s="22">
        <v>6.25</v>
      </c>
    </row>
    <row r="32" spans="1:6">
      <c r="A32" s="27" t="s">
        <v>201</v>
      </c>
      <c r="B32" s="28" t="s">
        <v>157</v>
      </c>
      <c r="C32" s="27" t="s">
        <v>66</v>
      </c>
      <c r="D32" s="27">
        <v>4.57</v>
      </c>
      <c r="E32" s="30">
        <v>89.05</v>
      </c>
      <c r="F32" s="31" t="s">
        <v>291</v>
      </c>
    </row>
    <row r="33" spans="1:6">
      <c r="A33" s="20" t="s">
        <v>85</v>
      </c>
      <c r="B33" s="23" t="s">
        <v>157</v>
      </c>
      <c r="C33" s="20" t="s">
        <v>66</v>
      </c>
      <c r="D33" s="20">
        <v>3.3</v>
      </c>
      <c r="E33" s="22">
        <v>79</v>
      </c>
    </row>
    <row r="34" spans="1:6">
      <c r="A34" s="27" t="s">
        <v>159</v>
      </c>
      <c r="B34" s="28" t="s">
        <v>157</v>
      </c>
      <c r="C34" s="27" t="s">
        <v>66</v>
      </c>
      <c r="D34" s="27">
        <v>7.13</v>
      </c>
      <c r="E34" s="30">
        <v>139.1</v>
      </c>
      <c r="F34" s="31" t="s">
        <v>291</v>
      </c>
    </row>
    <row r="35" spans="1:6">
      <c r="A35" s="27" t="s">
        <v>88</v>
      </c>
      <c r="B35" s="28" t="s">
        <v>157</v>
      </c>
      <c r="C35" s="27" t="s">
        <v>66</v>
      </c>
      <c r="D35" s="27">
        <v>5.07</v>
      </c>
      <c r="E35" s="30">
        <v>98.8</v>
      </c>
      <c r="F35" s="31" t="s">
        <v>291</v>
      </c>
    </row>
    <row r="36" spans="1:6">
      <c r="A36" s="20" t="s">
        <v>35</v>
      </c>
      <c r="B36" s="23" t="s">
        <v>157</v>
      </c>
      <c r="C36" s="20" t="s">
        <v>66</v>
      </c>
      <c r="D36" s="20">
        <v>3.8</v>
      </c>
      <c r="E36" s="22">
        <v>85.5</v>
      </c>
    </row>
    <row r="37" spans="1:6">
      <c r="A37" s="20" t="s">
        <v>238</v>
      </c>
      <c r="B37" s="23" t="s">
        <v>157</v>
      </c>
      <c r="C37" s="20" t="s">
        <v>66</v>
      </c>
      <c r="D37" s="20">
        <v>0.82</v>
      </c>
      <c r="E37" s="22">
        <v>15.93</v>
      </c>
    </row>
    <row r="38" spans="1:6">
      <c r="A38" s="20" t="s">
        <v>161</v>
      </c>
      <c r="B38" s="23" t="s">
        <v>157</v>
      </c>
      <c r="C38" s="20" t="s">
        <v>66</v>
      </c>
      <c r="D38" s="20">
        <v>1.27</v>
      </c>
      <c r="E38" s="22">
        <v>24.7</v>
      </c>
    </row>
    <row r="39" spans="1:6">
      <c r="A39" s="19" t="s">
        <v>7</v>
      </c>
      <c r="B39" s="20"/>
      <c r="C39" s="20"/>
      <c r="D39" s="26">
        <f>SUM(D25:D38)</f>
        <v>54.6</v>
      </c>
      <c r="E39" s="25">
        <f>SUM(E25:E38)</f>
        <v>1093.99</v>
      </c>
    </row>
    <row r="40" spans="1:6">
      <c r="A40" s="19"/>
      <c r="B40" s="20"/>
      <c r="C40" s="20"/>
      <c r="D40" s="26"/>
      <c r="E40" s="25"/>
    </row>
    <row r="41" spans="1:6">
      <c r="A41" s="27" t="s">
        <v>52</v>
      </c>
      <c r="B41" s="28" t="s">
        <v>162</v>
      </c>
      <c r="C41" s="27" t="s">
        <v>51</v>
      </c>
      <c r="D41" s="29">
        <v>20.75</v>
      </c>
      <c r="E41" s="30">
        <v>451.31</v>
      </c>
      <c r="F41" s="31" t="s">
        <v>293</v>
      </c>
    </row>
    <row r="42" spans="1:6">
      <c r="A42" s="27" t="s">
        <v>163</v>
      </c>
      <c r="B42" s="28" t="s">
        <v>162</v>
      </c>
      <c r="C42" s="27" t="s">
        <v>51</v>
      </c>
      <c r="D42" s="29">
        <v>41.5</v>
      </c>
      <c r="E42" s="30">
        <v>996</v>
      </c>
      <c r="F42" s="31" t="s">
        <v>294</v>
      </c>
    </row>
    <row r="43" spans="1:6">
      <c r="A43" s="19" t="s">
        <v>7</v>
      </c>
      <c r="B43" s="20"/>
      <c r="C43" s="20"/>
      <c r="D43" s="26">
        <f>SUM(D41:D42)</f>
        <v>62.25</v>
      </c>
      <c r="E43" s="25">
        <f>SUM(E41:E42)</f>
        <v>1447.31</v>
      </c>
    </row>
    <row r="44" spans="1:6">
      <c r="A44" s="19"/>
      <c r="B44" s="20"/>
      <c r="C44" s="20"/>
      <c r="D44" s="21"/>
      <c r="E44" s="22"/>
    </row>
    <row r="45" spans="1:6">
      <c r="A45" s="20" t="s">
        <v>166</v>
      </c>
      <c r="B45" s="23" t="s">
        <v>167</v>
      </c>
      <c r="C45" s="20" t="s">
        <v>54</v>
      </c>
      <c r="D45" s="21">
        <v>0.17</v>
      </c>
      <c r="E45" s="22">
        <v>3.75</v>
      </c>
    </row>
    <row r="46" spans="1:6">
      <c r="A46" s="20" t="s">
        <v>249</v>
      </c>
      <c r="B46" s="23" t="s">
        <v>167</v>
      </c>
      <c r="C46" s="20" t="s">
        <v>54</v>
      </c>
      <c r="D46" s="21">
        <v>0.2</v>
      </c>
      <c r="E46" s="22">
        <v>4.2</v>
      </c>
    </row>
    <row r="47" spans="1:6">
      <c r="A47" s="27" t="s">
        <v>253</v>
      </c>
      <c r="B47" s="28" t="s">
        <v>167</v>
      </c>
      <c r="C47" s="27" t="s">
        <v>54</v>
      </c>
      <c r="D47" s="29">
        <v>6.55</v>
      </c>
      <c r="E47" s="30">
        <v>137.55000000000001</v>
      </c>
      <c r="F47" s="31" t="s">
        <v>295</v>
      </c>
    </row>
    <row r="48" spans="1:6">
      <c r="A48" s="20" t="s">
        <v>254</v>
      </c>
      <c r="B48" s="23" t="s">
        <v>167</v>
      </c>
      <c r="C48" s="20" t="s">
        <v>54</v>
      </c>
      <c r="D48" s="21">
        <v>0.55000000000000004</v>
      </c>
      <c r="E48" s="22">
        <v>11.55</v>
      </c>
    </row>
    <row r="49" spans="1:5">
      <c r="A49" s="20" t="s">
        <v>270</v>
      </c>
      <c r="B49" s="23" t="s">
        <v>167</v>
      </c>
      <c r="C49" s="20" t="s">
        <v>54</v>
      </c>
      <c r="D49" s="21">
        <v>2.25</v>
      </c>
      <c r="E49" s="22">
        <v>60.75</v>
      </c>
    </row>
    <row r="50" spans="1:5">
      <c r="A50" s="19" t="s">
        <v>7</v>
      </c>
      <c r="B50" s="20"/>
      <c r="C50" s="20"/>
      <c r="D50" s="26">
        <f>SUM(D45:D49)</f>
        <v>9.7199999999999989</v>
      </c>
      <c r="E50" s="25">
        <f>SUM(E45:E49)</f>
        <v>217.8</v>
      </c>
    </row>
    <row r="51" spans="1:5">
      <c r="A51" s="19"/>
      <c r="B51" s="20"/>
      <c r="C51" s="20"/>
      <c r="D51" s="21"/>
      <c r="E51" s="22"/>
    </row>
    <row r="52" spans="1:5">
      <c r="A52" s="20" t="s">
        <v>239</v>
      </c>
      <c r="B52" s="23" t="s">
        <v>240</v>
      </c>
      <c r="C52" s="20" t="s">
        <v>241</v>
      </c>
      <c r="D52" s="21">
        <v>0.73</v>
      </c>
      <c r="E52" s="22">
        <v>17.600000000000001</v>
      </c>
    </row>
    <row r="53" spans="1:5">
      <c r="A53" s="19" t="s">
        <v>7</v>
      </c>
      <c r="B53" s="20"/>
      <c r="C53" s="20"/>
      <c r="D53" s="26">
        <f>SUM(D52)</f>
        <v>0.73</v>
      </c>
      <c r="E53" s="25">
        <f>SUM(E52)</f>
        <v>17.600000000000001</v>
      </c>
    </row>
    <row r="54" spans="1:5">
      <c r="A54" s="20"/>
      <c r="B54" s="20"/>
      <c r="C54" s="20"/>
      <c r="D54" s="21"/>
      <c r="E54" s="22"/>
    </row>
    <row r="55" spans="1:5">
      <c r="A55" s="20" t="s">
        <v>229</v>
      </c>
      <c r="B55" s="20" t="s">
        <v>171</v>
      </c>
      <c r="C55" s="20" t="s">
        <v>25</v>
      </c>
      <c r="D55" s="21">
        <v>3.25</v>
      </c>
      <c r="E55" s="22">
        <v>85.31</v>
      </c>
    </row>
    <row r="56" spans="1:5">
      <c r="A56" s="20" t="s">
        <v>222</v>
      </c>
      <c r="B56" s="23" t="s">
        <v>171</v>
      </c>
      <c r="C56" s="20" t="s">
        <v>25</v>
      </c>
      <c r="D56" s="21">
        <v>0.1</v>
      </c>
      <c r="E56" s="22">
        <v>2.63</v>
      </c>
    </row>
    <row r="57" spans="1:5">
      <c r="A57" s="20" t="s">
        <v>26</v>
      </c>
      <c r="B57" s="20" t="s">
        <v>171</v>
      </c>
      <c r="C57" s="20" t="s">
        <v>25</v>
      </c>
      <c r="D57" s="21">
        <v>0.73</v>
      </c>
      <c r="E57" s="22">
        <v>19.8</v>
      </c>
    </row>
    <row r="58" spans="1:5">
      <c r="A58" s="20" t="s">
        <v>223</v>
      </c>
      <c r="B58" s="23" t="s">
        <v>171</v>
      </c>
      <c r="C58" s="20" t="s">
        <v>25</v>
      </c>
      <c r="D58" s="21">
        <v>0.32</v>
      </c>
      <c r="E58" s="22">
        <v>8.08</v>
      </c>
    </row>
    <row r="59" spans="1:5">
      <c r="A59" s="19" t="s">
        <v>7</v>
      </c>
      <c r="B59" s="20"/>
      <c r="C59" s="20"/>
      <c r="D59" s="26">
        <f>SUM(D55:D58)</f>
        <v>4.4000000000000004</v>
      </c>
      <c r="E59" s="25">
        <f>SUM(E55:E58)</f>
        <v>115.82</v>
      </c>
    </row>
    <row r="60" spans="1:5">
      <c r="A60" s="20"/>
      <c r="B60" s="20"/>
      <c r="C60" s="20"/>
      <c r="D60" s="21"/>
      <c r="E60" s="22"/>
    </row>
    <row r="61" spans="1:5">
      <c r="A61" s="20" t="s">
        <v>11</v>
      </c>
      <c r="B61" s="23" t="s">
        <v>172</v>
      </c>
      <c r="C61" s="20" t="s">
        <v>12</v>
      </c>
      <c r="D61" s="21">
        <v>0.08</v>
      </c>
      <c r="E61" s="22">
        <v>2.77</v>
      </c>
    </row>
    <row r="62" spans="1:5">
      <c r="A62" s="20" t="s">
        <v>13</v>
      </c>
      <c r="B62" s="20" t="s">
        <v>172</v>
      </c>
      <c r="C62" s="20" t="s">
        <v>12</v>
      </c>
      <c r="D62" s="21">
        <v>1</v>
      </c>
      <c r="E62" s="22">
        <v>37.14</v>
      </c>
    </row>
    <row r="63" spans="1:5">
      <c r="A63" s="19" t="s">
        <v>7</v>
      </c>
      <c r="B63" s="20"/>
      <c r="C63" s="20"/>
      <c r="D63" s="26">
        <f>SUM(D61:D62)</f>
        <v>1.08</v>
      </c>
      <c r="E63" s="25">
        <f>SUM(E61:E62)</f>
        <v>39.910000000000004</v>
      </c>
    </row>
    <row r="64" spans="1:5">
      <c r="A64" s="19"/>
      <c r="B64" s="20"/>
      <c r="C64" s="20"/>
      <c r="D64" s="21"/>
      <c r="E64" s="22"/>
    </row>
    <row r="65" spans="1:6">
      <c r="A65" s="20" t="s">
        <v>205</v>
      </c>
      <c r="B65" s="23">
        <v>100035</v>
      </c>
      <c r="C65" s="20" t="s">
        <v>23</v>
      </c>
      <c r="D65" s="21">
        <v>1.68</v>
      </c>
      <c r="E65" s="22">
        <v>52.19</v>
      </c>
    </row>
    <row r="66" spans="1:6">
      <c r="A66" s="19" t="s">
        <v>7</v>
      </c>
      <c r="B66" s="20"/>
      <c r="C66" s="20"/>
      <c r="D66" s="26">
        <f>SUM(D65:D65)</f>
        <v>1.68</v>
      </c>
      <c r="E66" s="25">
        <f>SUM(E65:E65)</f>
        <v>52.19</v>
      </c>
    </row>
    <row r="67" spans="1:6">
      <c r="A67" s="19"/>
      <c r="B67" s="20"/>
      <c r="C67" s="20"/>
      <c r="D67" s="21"/>
      <c r="E67" s="22"/>
    </row>
    <row r="68" spans="1:6">
      <c r="A68" s="27" t="s">
        <v>175</v>
      </c>
      <c r="B68" s="27">
        <v>100051</v>
      </c>
      <c r="C68" s="27" t="s">
        <v>34</v>
      </c>
      <c r="D68" s="29">
        <v>18.5</v>
      </c>
      <c r="E68" s="30">
        <v>333</v>
      </c>
      <c r="F68" s="31" t="s">
        <v>294</v>
      </c>
    </row>
    <row r="69" spans="1:6">
      <c r="A69" s="27" t="s">
        <v>36</v>
      </c>
      <c r="B69" s="27">
        <v>100051</v>
      </c>
      <c r="C69" s="27" t="s">
        <v>34</v>
      </c>
      <c r="D69" s="29">
        <v>57.5</v>
      </c>
      <c r="E69" s="30">
        <v>1207.5</v>
      </c>
      <c r="F69" s="31" t="s">
        <v>294</v>
      </c>
    </row>
    <row r="70" spans="1:6">
      <c r="A70" s="27" t="s">
        <v>211</v>
      </c>
      <c r="B70" s="27">
        <v>100051</v>
      </c>
      <c r="C70" s="27" t="s">
        <v>34</v>
      </c>
      <c r="D70" s="29">
        <v>18.5</v>
      </c>
      <c r="E70" s="30">
        <v>333</v>
      </c>
      <c r="F70" s="31" t="s">
        <v>294</v>
      </c>
    </row>
    <row r="71" spans="1:6">
      <c r="A71" s="27" t="s">
        <v>212</v>
      </c>
      <c r="B71" s="27">
        <v>100051</v>
      </c>
      <c r="C71" s="27" t="s">
        <v>34</v>
      </c>
      <c r="D71" s="29">
        <v>13.5</v>
      </c>
      <c r="E71" s="30">
        <v>243</v>
      </c>
      <c r="F71" s="31" t="s">
        <v>294</v>
      </c>
    </row>
    <row r="72" spans="1:6">
      <c r="A72" s="27" t="s">
        <v>37</v>
      </c>
      <c r="B72" s="27">
        <v>100051</v>
      </c>
      <c r="C72" s="27" t="s">
        <v>34</v>
      </c>
      <c r="D72" s="29">
        <v>34</v>
      </c>
      <c r="E72" s="30">
        <v>723.18</v>
      </c>
      <c r="F72" s="31" t="s">
        <v>294</v>
      </c>
    </row>
    <row r="73" spans="1:6">
      <c r="A73" s="19" t="s">
        <v>7</v>
      </c>
      <c r="B73" s="20"/>
      <c r="C73" s="20"/>
      <c r="D73" s="26">
        <f>SUM(D68:D72)</f>
        <v>142</v>
      </c>
      <c r="E73" s="25">
        <f>SUM(E68:E72)</f>
        <v>2839.68</v>
      </c>
      <c r="F73" s="31"/>
    </row>
    <row r="74" spans="1:6">
      <c r="A74" s="19"/>
      <c r="B74" s="20"/>
      <c r="C74" s="20"/>
      <c r="D74" s="26"/>
      <c r="E74" s="25"/>
    </row>
    <row r="75" spans="1:6">
      <c r="A75" s="20" t="s">
        <v>95</v>
      </c>
      <c r="B75" s="20" t="s">
        <v>180</v>
      </c>
      <c r="C75" s="20" t="s">
        <v>96</v>
      </c>
      <c r="D75" s="21">
        <v>2.13</v>
      </c>
      <c r="E75" s="22">
        <v>57.57</v>
      </c>
    </row>
    <row r="76" spans="1:6">
      <c r="A76" s="19" t="s">
        <v>7</v>
      </c>
      <c r="B76" s="20"/>
      <c r="C76" s="20"/>
      <c r="D76" s="26">
        <f>SUM(D75)</f>
        <v>2.13</v>
      </c>
      <c r="E76" s="25">
        <f>SUM(E75)</f>
        <v>57.57</v>
      </c>
    </row>
    <row r="77" spans="1:6">
      <c r="A77" s="20"/>
      <c r="B77" s="20"/>
      <c r="C77" s="20"/>
      <c r="D77" s="21"/>
      <c r="E77" s="22"/>
    </row>
    <row r="78" spans="1:6">
      <c r="A78" s="20" t="s">
        <v>97</v>
      </c>
      <c r="B78" s="20" t="s">
        <v>181</v>
      </c>
      <c r="C78" s="20" t="s">
        <v>98</v>
      </c>
      <c r="D78" s="21">
        <v>2.02</v>
      </c>
      <c r="E78" s="22">
        <v>59.93</v>
      </c>
    </row>
    <row r="79" spans="1:6">
      <c r="A79" s="19" t="s">
        <v>7</v>
      </c>
      <c r="B79" s="20"/>
      <c r="C79" s="20"/>
      <c r="D79" s="26">
        <f>SUM(D78:D78)</f>
        <v>2.02</v>
      </c>
      <c r="E79" s="25">
        <f>SUM(E78:E78)</f>
        <v>59.93</v>
      </c>
    </row>
    <row r="80" spans="1:6">
      <c r="A80" s="20"/>
      <c r="B80" s="20"/>
      <c r="C80" s="20"/>
      <c r="D80" s="21"/>
      <c r="E80" s="22"/>
    </row>
    <row r="81" spans="1:5">
      <c r="A81" s="20" t="s">
        <v>100</v>
      </c>
      <c r="B81" s="20" t="s">
        <v>182</v>
      </c>
      <c r="C81" s="20" t="s">
        <v>101</v>
      </c>
      <c r="D81" s="21">
        <v>2.5499999999999998</v>
      </c>
      <c r="E81" s="22">
        <v>73.94</v>
      </c>
    </row>
    <row r="82" spans="1:5">
      <c r="A82" s="19" t="s">
        <v>7</v>
      </c>
      <c r="B82" s="20"/>
      <c r="C82" s="20"/>
      <c r="D82" s="26">
        <f>SUM(D81)</f>
        <v>2.5499999999999998</v>
      </c>
      <c r="E82" s="25">
        <f>SUM(E81)</f>
        <v>73.94</v>
      </c>
    </row>
    <row r="83" spans="1:5">
      <c r="A83" s="19"/>
      <c r="B83" s="20"/>
      <c r="C83" s="20"/>
      <c r="D83" s="26"/>
      <c r="E83" s="25"/>
    </row>
    <row r="84" spans="1:5">
      <c r="A84" s="20" t="s">
        <v>245</v>
      </c>
      <c r="B84" s="20">
        <v>450044</v>
      </c>
      <c r="C84" s="20" t="s">
        <v>134</v>
      </c>
      <c r="D84" s="21">
        <v>1.05</v>
      </c>
      <c r="E84" s="22">
        <v>22.05</v>
      </c>
    </row>
    <row r="85" spans="1:5">
      <c r="A85" s="19" t="s">
        <v>7</v>
      </c>
      <c r="B85" s="20"/>
      <c r="C85" s="20"/>
      <c r="D85" s="26">
        <v>1.05</v>
      </c>
      <c r="E85" s="25">
        <v>22.05</v>
      </c>
    </row>
    <row r="86" spans="1:5">
      <c r="A86" s="19"/>
      <c r="B86" s="20"/>
      <c r="C86" s="20"/>
      <c r="D86" s="26"/>
      <c r="E86" s="25"/>
    </row>
    <row r="87" spans="1:5">
      <c r="A87" s="20" t="s">
        <v>39</v>
      </c>
      <c r="B87" s="20">
        <v>550051</v>
      </c>
      <c r="C87" s="20" t="s">
        <v>296</v>
      </c>
      <c r="D87" s="21">
        <v>1</v>
      </c>
      <c r="E87" s="22">
        <v>22.07</v>
      </c>
    </row>
    <row r="88" spans="1:5">
      <c r="A88" s="19" t="s">
        <v>7</v>
      </c>
      <c r="B88" s="20"/>
      <c r="C88" s="20"/>
      <c r="D88" s="26">
        <v>1</v>
      </c>
      <c r="E88" s="25">
        <v>22.07</v>
      </c>
    </row>
    <row r="89" spans="1:5">
      <c r="A89" s="19"/>
      <c r="B89" s="20"/>
      <c r="C89" s="20"/>
      <c r="D89" s="26"/>
      <c r="E89" s="25"/>
    </row>
    <row r="90" spans="1:5">
      <c r="A90" s="20" t="s">
        <v>41</v>
      </c>
      <c r="B90" s="20">
        <v>550052</v>
      </c>
      <c r="C90" s="20" t="s">
        <v>297</v>
      </c>
      <c r="D90" s="21">
        <v>1</v>
      </c>
      <c r="E90" s="22">
        <v>23.63</v>
      </c>
    </row>
    <row r="91" spans="1:5">
      <c r="A91" s="19" t="s">
        <v>7</v>
      </c>
      <c r="B91" s="20"/>
      <c r="C91" s="20"/>
      <c r="D91" s="26">
        <v>1</v>
      </c>
      <c r="E91" s="25">
        <v>23.63</v>
      </c>
    </row>
    <row r="92" spans="1:5">
      <c r="A92" s="19"/>
      <c r="B92" s="20"/>
      <c r="C92" s="20"/>
      <c r="D92" s="21"/>
      <c r="E92" s="22"/>
    </row>
    <row r="93" spans="1:5">
      <c r="A93" s="19" t="s">
        <v>194</v>
      </c>
      <c r="B93" s="20"/>
      <c r="C93" s="20"/>
      <c r="D93" s="26">
        <f>D91+D88+D85+D82+D79+D76+D73+D66+D63+D59+D53+D50+D43+D39+D23+D18+D14+D11+D8</f>
        <v>298.71000000000009</v>
      </c>
      <c r="E93" s="25">
        <f>E91+E88+E85+E82+E79+E76+E73+E66+E63+E59+E53+E50+E43+E39+E23+E18+E14+E11+E8</f>
        <v>6444.5</v>
      </c>
    </row>
    <row r="94" spans="1:5">
      <c r="A94" s="20"/>
      <c r="B94" s="20"/>
      <c r="C94" s="20"/>
      <c r="D94" s="20"/>
      <c r="E94" s="20"/>
    </row>
    <row r="95" spans="1:5">
      <c r="A95" s="20"/>
      <c r="B95" s="20"/>
      <c r="C95" s="20"/>
      <c r="D95" s="20"/>
      <c r="E95" s="20"/>
    </row>
    <row r="96" spans="1:5">
      <c r="A96" s="20"/>
      <c r="B96" s="20"/>
      <c r="C96" s="20"/>
      <c r="D96" s="20"/>
      <c r="E96" s="20"/>
    </row>
    <row r="97" spans="1:5">
      <c r="A97" s="20"/>
      <c r="B97" s="20"/>
      <c r="C97" s="20"/>
      <c r="D97" s="20"/>
      <c r="E97" s="20"/>
    </row>
    <row r="98" spans="1:5">
      <c r="A98" s="20"/>
      <c r="B98" s="20"/>
      <c r="C98" s="20"/>
      <c r="D98" s="20"/>
      <c r="E98" s="20"/>
    </row>
    <row r="99" spans="1:5">
      <c r="A99" s="20"/>
      <c r="B99" s="20"/>
      <c r="C99" s="20"/>
      <c r="D99" s="20"/>
      <c r="E99" s="20"/>
    </row>
    <row r="100" spans="1:5">
      <c r="A100" s="20"/>
      <c r="B100" s="20"/>
      <c r="C100" s="20"/>
      <c r="D100" s="20"/>
      <c r="E100" s="20"/>
    </row>
    <row r="101" spans="1:5">
      <c r="A101" s="20"/>
      <c r="B101" s="20"/>
      <c r="C101" s="20"/>
      <c r="D101" s="20"/>
      <c r="E101" s="20"/>
    </row>
    <row r="102" spans="1:5">
      <c r="A102" s="20"/>
      <c r="B102" s="20"/>
      <c r="C102" s="20"/>
      <c r="D102" s="20"/>
      <c r="E102" s="20"/>
    </row>
    <row r="103" spans="1:5">
      <c r="A103" s="20"/>
      <c r="B103" s="20"/>
      <c r="C103" s="20"/>
      <c r="D103" s="20"/>
      <c r="E103" s="20"/>
    </row>
    <row r="104" spans="1:5">
      <c r="A104" s="20"/>
      <c r="B104" s="20"/>
      <c r="C104" s="20"/>
      <c r="D104" s="20"/>
      <c r="E104" s="20"/>
    </row>
    <row r="105" spans="1:5">
      <c r="A105" s="20"/>
      <c r="B105" s="20"/>
      <c r="C105" s="20"/>
      <c r="D105" s="20"/>
      <c r="E105" s="20"/>
    </row>
    <row r="106" spans="1:5">
      <c r="A106" s="20"/>
      <c r="B106" s="20"/>
      <c r="C106" s="20"/>
      <c r="D106" s="20"/>
      <c r="E106" s="20"/>
    </row>
    <row r="107" spans="1:5">
      <c r="A107" s="20"/>
      <c r="B107" s="20"/>
      <c r="C107" s="20"/>
      <c r="D107" s="20"/>
      <c r="E107" s="20"/>
    </row>
    <row r="108" spans="1:5">
      <c r="A108" s="20"/>
      <c r="B108" s="20"/>
      <c r="C108" s="20"/>
      <c r="D108" s="20"/>
      <c r="E108" s="20"/>
    </row>
    <row r="109" spans="1:5">
      <c r="A109" s="20"/>
      <c r="B109" s="20"/>
      <c r="C109" s="20"/>
      <c r="D109" s="20"/>
      <c r="E109" s="20"/>
    </row>
    <row r="110" spans="1:5">
      <c r="A110" s="20"/>
      <c r="B110" s="20"/>
      <c r="C110" s="20"/>
      <c r="D110" s="20"/>
      <c r="E110" s="20"/>
    </row>
    <row r="111" spans="1:5">
      <c r="A111" s="20"/>
      <c r="B111" s="20"/>
      <c r="C111" s="20"/>
      <c r="D111" s="20"/>
      <c r="E111" s="20"/>
    </row>
    <row r="112" spans="1:5">
      <c r="A112" s="20"/>
      <c r="B112" s="20"/>
      <c r="C112" s="20"/>
      <c r="D112" s="20"/>
      <c r="E112" s="20"/>
    </row>
    <row r="113" spans="1:5">
      <c r="A113" s="20"/>
      <c r="B113" s="20"/>
      <c r="C113" s="20"/>
      <c r="D113" s="20"/>
      <c r="E113" s="20"/>
    </row>
    <row r="114" spans="1:5">
      <c r="A114" s="20"/>
      <c r="B114" s="20"/>
      <c r="C114" s="20"/>
      <c r="D114" s="20"/>
      <c r="E114" s="20"/>
    </row>
    <row r="115" spans="1:5">
      <c r="A115" s="20"/>
      <c r="B115" s="20"/>
      <c r="C115" s="20"/>
      <c r="D115" s="20"/>
      <c r="E115" s="20"/>
    </row>
    <row r="116" spans="1:5">
      <c r="A116" s="20"/>
      <c r="B116" s="20"/>
      <c r="C116" s="20"/>
      <c r="D116" s="20"/>
      <c r="E116" s="20"/>
    </row>
    <row r="117" spans="1:5">
      <c r="A117" s="20"/>
      <c r="B117" s="20"/>
      <c r="C117" s="20"/>
      <c r="D117" s="20"/>
      <c r="E117" s="20"/>
    </row>
    <row r="118" spans="1:5">
      <c r="A118" s="20"/>
      <c r="B118" s="20"/>
      <c r="C118" s="20"/>
      <c r="D118" s="20"/>
      <c r="E118" s="20"/>
    </row>
    <row r="119" spans="1:5">
      <c r="A119" s="20"/>
      <c r="B119" s="20"/>
      <c r="C119" s="20"/>
      <c r="D119" s="20"/>
      <c r="E119" s="20"/>
    </row>
    <row r="120" spans="1:5">
      <c r="A120" s="20"/>
      <c r="B120" s="20"/>
      <c r="C120" s="20"/>
      <c r="D120" s="20"/>
      <c r="E120" s="20"/>
    </row>
    <row r="121" spans="1:5">
      <c r="A121" s="20"/>
      <c r="B121" s="20"/>
      <c r="C121" s="20"/>
      <c r="D121" s="20"/>
      <c r="E121" s="20"/>
    </row>
    <row r="122" spans="1:5">
      <c r="A122" s="20"/>
      <c r="B122" s="20"/>
      <c r="C122" s="20"/>
      <c r="D122" s="20"/>
      <c r="E122" s="20"/>
    </row>
    <row r="123" spans="1:5">
      <c r="A123" s="20"/>
      <c r="B123" s="20"/>
      <c r="C123" s="20"/>
      <c r="D123" s="20"/>
      <c r="E123" s="20"/>
    </row>
    <row r="124" spans="1:5">
      <c r="A124" s="20"/>
      <c r="B124" s="20"/>
      <c r="C124" s="20"/>
      <c r="D124" s="20"/>
      <c r="E124" s="20"/>
    </row>
    <row r="125" spans="1:5">
      <c r="A125" s="20"/>
      <c r="B125" s="20"/>
      <c r="C125" s="20"/>
      <c r="D125" s="20"/>
      <c r="E125" s="20"/>
    </row>
    <row r="126" spans="1:5">
      <c r="A126" s="20"/>
      <c r="B126" s="20"/>
      <c r="C126" s="20"/>
      <c r="D126" s="20"/>
      <c r="E126" s="20"/>
    </row>
    <row r="127" spans="1:5">
      <c r="A127" s="20"/>
      <c r="B127" s="20"/>
      <c r="C127" s="20"/>
      <c r="D127" s="20"/>
      <c r="E127" s="20"/>
    </row>
  </sheetData>
  <mergeCells count="3">
    <mergeCell ref="G4:J4"/>
    <mergeCell ref="G1:J1"/>
    <mergeCell ref="G2:J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85"/>
  <sheetViews>
    <sheetView workbookViewId="0">
      <selection activeCell="F24" sqref="F24"/>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79.42578125" style="18" bestFit="1" customWidth="1"/>
    <col min="7" max="9" width="9.140625" style="18"/>
    <col min="10" max="10" width="32.140625" style="18" customWidth="1"/>
    <col min="11" max="16384" width="9.140625" style="18"/>
  </cols>
  <sheetData>
    <row r="1" spans="1:10">
      <c r="A1" s="19" t="s">
        <v>147</v>
      </c>
      <c r="B1" s="19" t="s">
        <v>148</v>
      </c>
      <c r="C1" s="19" t="s">
        <v>149</v>
      </c>
      <c r="D1" s="19" t="s">
        <v>150</v>
      </c>
      <c r="E1" s="19" t="s">
        <v>151</v>
      </c>
      <c r="F1" s="11" t="s">
        <v>258</v>
      </c>
      <c r="G1" s="307" t="s">
        <v>259</v>
      </c>
      <c r="H1" s="306"/>
      <c r="I1" s="306"/>
      <c r="J1" s="306"/>
    </row>
    <row r="2" spans="1:10">
      <c r="A2" s="20" t="s">
        <v>20</v>
      </c>
      <c r="B2" s="20" t="s">
        <v>152</v>
      </c>
      <c r="C2" s="20" t="s">
        <v>15</v>
      </c>
      <c r="D2" s="21">
        <v>0.73</v>
      </c>
      <c r="E2" s="22">
        <v>19.260000000000002</v>
      </c>
      <c r="G2" s="308">
        <f>E21+E23+E24+E26+E27+E31+E32+E51+E52+E53+E54+E55+E56+E57</f>
        <v>7216.63</v>
      </c>
      <c r="H2" s="305"/>
      <c r="I2" s="305"/>
      <c r="J2" s="305"/>
    </row>
    <row r="3" spans="1:10">
      <c r="A3" s="20" t="s">
        <v>18</v>
      </c>
      <c r="B3" s="20" t="s">
        <v>152</v>
      </c>
      <c r="C3" s="20" t="s">
        <v>15</v>
      </c>
      <c r="D3" s="21">
        <v>0.3</v>
      </c>
      <c r="E3" s="22">
        <v>8.35</v>
      </c>
    </row>
    <row r="4" spans="1:10">
      <c r="A4" s="20" t="s">
        <v>19</v>
      </c>
      <c r="B4" s="23" t="s">
        <v>152</v>
      </c>
      <c r="C4" s="20" t="s">
        <v>15</v>
      </c>
      <c r="D4" s="21">
        <v>0.25</v>
      </c>
      <c r="E4" s="22">
        <v>7.46</v>
      </c>
      <c r="G4" s="305" t="s">
        <v>263</v>
      </c>
      <c r="H4" s="306"/>
      <c r="I4" s="306"/>
      <c r="J4" s="306"/>
    </row>
    <row r="5" spans="1:10">
      <c r="A5" s="20" t="s">
        <v>17</v>
      </c>
      <c r="B5" s="23" t="s">
        <v>152</v>
      </c>
      <c r="C5" s="20" t="s">
        <v>15</v>
      </c>
      <c r="D5" s="21">
        <v>0.15</v>
      </c>
      <c r="E5" s="22">
        <v>3.77</v>
      </c>
    </row>
    <row r="6" spans="1:10">
      <c r="A6" s="20" t="s">
        <v>16</v>
      </c>
      <c r="B6" s="23" t="s">
        <v>152</v>
      </c>
      <c r="C6" s="20" t="s">
        <v>15</v>
      </c>
      <c r="D6" s="21">
        <v>0.5</v>
      </c>
      <c r="E6" s="22">
        <v>13.7</v>
      </c>
    </row>
    <row r="7" spans="1:10">
      <c r="A7" s="19" t="s">
        <v>7</v>
      </c>
      <c r="B7" s="20"/>
      <c r="C7" s="20"/>
      <c r="D7" s="24">
        <f>SUM(D2:D6)</f>
        <v>1.93</v>
      </c>
      <c r="E7" s="25">
        <f>SUM(E2:E6)</f>
        <v>52.540000000000006</v>
      </c>
    </row>
    <row r="8" spans="1:10">
      <c r="A8" s="19"/>
      <c r="B8" s="20"/>
      <c r="C8" s="20"/>
      <c r="D8" s="24"/>
      <c r="E8" s="25"/>
    </row>
    <row r="9" spans="1:10">
      <c r="A9" s="20" t="s">
        <v>28</v>
      </c>
      <c r="B9" s="23" t="s">
        <v>217</v>
      </c>
      <c r="C9" s="20" t="s">
        <v>218</v>
      </c>
      <c r="D9" s="55">
        <v>0.42</v>
      </c>
      <c r="E9" s="22">
        <v>11.56</v>
      </c>
    </row>
    <row r="10" spans="1:10">
      <c r="A10" s="19" t="s">
        <v>7</v>
      </c>
      <c r="B10" s="20"/>
      <c r="C10" s="20"/>
      <c r="D10" s="24">
        <v>0.42</v>
      </c>
      <c r="E10" s="25">
        <v>11.56</v>
      </c>
    </row>
    <row r="11" spans="1:10">
      <c r="A11" s="19"/>
      <c r="B11" s="20"/>
      <c r="C11" s="20"/>
      <c r="D11" s="26"/>
      <c r="E11" s="25"/>
    </row>
    <row r="12" spans="1:10">
      <c r="A12" s="20" t="s">
        <v>30</v>
      </c>
      <c r="B12" s="20" t="s">
        <v>155</v>
      </c>
      <c r="C12" s="20" t="s">
        <v>31</v>
      </c>
      <c r="D12" s="21">
        <v>0.55000000000000004</v>
      </c>
      <c r="E12" s="22">
        <v>14.45</v>
      </c>
    </row>
    <row r="13" spans="1:10">
      <c r="A13" s="20" t="s">
        <v>195</v>
      </c>
      <c r="B13" s="23" t="s">
        <v>155</v>
      </c>
      <c r="C13" s="20" t="s">
        <v>196</v>
      </c>
      <c r="D13" s="21">
        <v>3.17</v>
      </c>
      <c r="E13" s="22">
        <v>95</v>
      </c>
    </row>
    <row r="14" spans="1:10">
      <c r="A14" s="19" t="s">
        <v>7</v>
      </c>
      <c r="B14" s="20"/>
      <c r="C14" s="20"/>
      <c r="D14" s="26">
        <f>SUM(D12:D13)</f>
        <v>3.7199999999999998</v>
      </c>
      <c r="E14" s="25">
        <f>SUM(E12:E13)</f>
        <v>109.45</v>
      </c>
    </row>
    <row r="15" spans="1:10">
      <c r="A15" s="19"/>
      <c r="B15" s="20"/>
      <c r="C15" s="20"/>
      <c r="D15" s="26"/>
      <c r="E15" s="25"/>
    </row>
    <row r="16" spans="1:10">
      <c r="A16" s="20" t="s">
        <v>14</v>
      </c>
      <c r="B16" s="23" t="s">
        <v>156</v>
      </c>
      <c r="C16" s="20" t="s">
        <v>91</v>
      </c>
      <c r="D16" s="21">
        <v>0.25</v>
      </c>
      <c r="E16" s="22">
        <v>6.38</v>
      </c>
    </row>
    <row r="17" spans="1:6">
      <c r="A17" s="20" t="s">
        <v>92</v>
      </c>
      <c r="B17" s="23" t="s">
        <v>156</v>
      </c>
      <c r="C17" s="20" t="s">
        <v>91</v>
      </c>
      <c r="D17" s="21">
        <v>0.22</v>
      </c>
      <c r="E17" s="22">
        <v>5.73</v>
      </c>
    </row>
    <row r="18" spans="1:6">
      <c r="A18" s="19" t="s">
        <v>7</v>
      </c>
      <c r="B18" s="20"/>
      <c r="C18" s="20"/>
      <c r="D18" s="26">
        <f>SUM(D16:D17)</f>
        <v>0.47</v>
      </c>
      <c r="E18" s="25">
        <f>SUM(E16:E17)</f>
        <v>12.11</v>
      </c>
    </row>
    <row r="19" spans="1:6">
      <c r="A19" s="20"/>
      <c r="B19" s="20"/>
      <c r="C19" s="20"/>
      <c r="D19" s="21"/>
      <c r="E19" s="22"/>
    </row>
    <row r="20" spans="1:6">
      <c r="A20" s="20" t="s">
        <v>228</v>
      </c>
      <c r="B20" s="20" t="s">
        <v>157</v>
      </c>
      <c r="C20" s="20" t="s">
        <v>66</v>
      </c>
      <c r="D20" s="21">
        <v>0.18</v>
      </c>
      <c r="E20" s="22">
        <v>3.58</v>
      </c>
    </row>
    <row r="21" spans="1:6">
      <c r="A21" s="27" t="s">
        <v>210</v>
      </c>
      <c r="B21" s="28" t="s">
        <v>157</v>
      </c>
      <c r="C21" s="27" t="s">
        <v>66</v>
      </c>
      <c r="D21" s="27">
        <v>23</v>
      </c>
      <c r="E21" s="30">
        <v>448.5</v>
      </c>
      <c r="F21" s="31" t="s">
        <v>298</v>
      </c>
    </row>
    <row r="22" spans="1:6">
      <c r="A22" s="20" t="s">
        <v>86</v>
      </c>
      <c r="B22" s="23" t="s">
        <v>157</v>
      </c>
      <c r="C22" s="20" t="s">
        <v>66</v>
      </c>
      <c r="D22" s="20">
        <v>0.4</v>
      </c>
      <c r="E22" s="22">
        <v>8.6999999999999993</v>
      </c>
    </row>
    <row r="23" spans="1:6">
      <c r="A23" s="27" t="s">
        <v>255</v>
      </c>
      <c r="B23" s="28" t="s">
        <v>157</v>
      </c>
      <c r="C23" s="27" t="s">
        <v>66</v>
      </c>
      <c r="D23" s="27">
        <v>19</v>
      </c>
      <c r="E23" s="30">
        <v>370.5</v>
      </c>
      <c r="F23" s="31" t="s">
        <v>298</v>
      </c>
    </row>
    <row r="24" spans="1:6">
      <c r="A24" s="27" t="s">
        <v>299</v>
      </c>
      <c r="B24" s="28" t="s">
        <v>157</v>
      </c>
      <c r="C24" s="27" t="s">
        <v>66</v>
      </c>
      <c r="D24" s="27">
        <f>4.98+19.98</f>
        <v>24.96</v>
      </c>
      <c r="E24" s="30">
        <f>89.7+359.7</f>
        <v>449.4</v>
      </c>
      <c r="F24" s="18" t="s">
        <v>300</v>
      </c>
    </row>
    <row r="25" spans="1:6">
      <c r="A25" s="20" t="s">
        <v>85</v>
      </c>
      <c r="B25" s="23" t="s">
        <v>157</v>
      </c>
      <c r="C25" s="20" t="s">
        <v>66</v>
      </c>
      <c r="D25" s="20">
        <v>1.5</v>
      </c>
      <c r="E25" s="22">
        <v>35.909999999999997</v>
      </c>
    </row>
    <row r="26" spans="1:6">
      <c r="A26" s="27" t="s">
        <v>88</v>
      </c>
      <c r="B26" s="28" t="s">
        <v>157</v>
      </c>
      <c r="C26" s="27" t="s">
        <v>66</v>
      </c>
      <c r="D26" s="27">
        <v>25</v>
      </c>
      <c r="E26" s="30">
        <v>487.5</v>
      </c>
      <c r="F26" s="31" t="s">
        <v>298</v>
      </c>
    </row>
    <row r="27" spans="1:6">
      <c r="A27" s="27" t="s">
        <v>35</v>
      </c>
      <c r="B27" s="28" t="s">
        <v>157</v>
      </c>
      <c r="C27" s="27" t="s">
        <v>66</v>
      </c>
      <c r="D27" s="27">
        <v>14.82</v>
      </c>
      <c r="E27" s="30">
        <v>333.38</v>
      </c>
      <c r="F27" s="31" t="s">
        <v>301</v>
      </c>
    </row>
    <row r="28" spans="1:6">
      <c r="A28" s="20" t="s">
        <v>238</v>
      </c>
      <c r="B28" s="23" t="s">
        <v>157</v>
      </c>
      <c r="C28" s="20" t="s">
        <v>66</v>
      </c>
      <c r="D28" s="20">
        <v>0.23</v>
      </c>
      <c r="E28" s="22">
        <v>4.55</v>
      </c>
    </row>
    <row r="29" spans="1:6">
      <c r="A29" s="19" t="s">
        <v>7</v>
      </c>
      <c r="B29" s="20"/>
      <c r="C29" s="20"/>
      <c r="D29" s="26">
        <f>SUM(D20:D28)</f>
        <v>109.08999999999999</v>
      </c>
      <c r="E29" s="25">
        <f>SUM(E20:E28)</f>
        <v>2142.02</v>
      </c>
    </row>
    <row r="30" spans="1:6">
      <c r="A30" s="19"/>
      <c r="B30" s="20"/>
      <c r="C30" s="20"/>
      <c r="D30" s="26"/>
      <c r="E30" s="25"/>
    </row>
    <row r="31" spans="1:6">
      <c r="A31" s="27" t="s">
        <v>52</v>
      </c>
      <c r="B31" s="28" t="s">
        <v>162</v>
      </c>
      <c r="C31" s="27" t="s">
        <v>51</v>
      </c>
      <c r="D31" s="29">
        <v>44.38</v>
      </c>
      <c r="E31" s="30">
        <v>965.34</v>
      </c>
      <c r="F31" s="18" t="s">
        <v>300</v>
      </c>
    </row>
    <row r="32" spans="1:6">
      <c r="A32" s="27" t="s">
        <v>163</v>
      </c>
      <c r="B32" s="28" t="s">
        <v>162</v>
      </c>
      <c r="C32" s="27" t="s">
        <v>51</v>
      </c>
      <c r="D32" s="29">
        <v>47.6</v>
      </c>
      <c r="E32" s="30">
        <v>1142.4000000000001</v>
      </c>
      <c r="F32" s="18" t="s">
        <v>300</v>
      </c>
    </row>
    <row r="33" spans="1:5">
      <c r="A33" s="19" t="s">
        <v>7</v>
      </c>
      <c r="B33" s="20"/>
      <c r="C33" s="20"/>
      <c r="D33" s="26">
        <f>SUM(D31:D32)</f>
        <v>91.98</v>
      </c>
      <c r="E33" s="25">
        <f>SUM(E31:E32)</f>
        <v>2107.7400000000002</v>
      </c>
    </row>
    <row r="34" spans="1:5">
      <c r="A34" s="19"/>
      <c r="B34" s="20"/>
      <c r="C34" s="20"/>
      <c r="D34" s="21"/>
      <c r="E34" s="22"/>
    </row>
    <row r="35" spans="1:5">
      <c r="A35" s="20" t="s">
        <v>253</v>
      </c>
      <c r="B35" s="23" t="s">
        <v>167</v>
      </c>
      <c r="C35" s="20" t="s">
        <v>54</v>
      </c>
      <c r="D35" s="21">
        <v>3.27</v>
      </c>
      <c r="E35" s="22">
        <v>68.599999999999994</v>
      </c>
    </row>
    <row r="36" spans="1:5">
      <c r="A36" s="19" t="s">
        <v>7</v>
      </c>
      <c r="B36" s="20"/>
      <c r="C36" s="20"/>
      <c r="D36" s="26">
        <f>SUM(D35:D35)</f>
        <v>3.27</v>
      </c>
      <c r="E36" s="25">
        <f>SUM(E35:E35)</f>
        <v>68.599999999999994</v>
      </c>
    </row>
    <row r="37" spans="1:5">
      <c r="A37" s="19"/>
      <c r="B37" s="20"/>
      <c r="C37" s="20"/>
      <c r="D37" s="21"/>
      <c r="E37" s="22"/>
    </row>
    <row r="38" spans="1:5">
      <c r="A38" s="20" t="s">
        <v>239</v>
      </c>
      <c r="B38" s="23" t="s">
        <v>240</v>
      </c>
      <c r="C38" s="20" t="s">
        <v>241</v>
      </c>
      <c r="D38" s="21">
        <v>0.92</v>
      </c>
      <c r="E38" s="22">
        <v>22</v>
      </c>
    </row>
    <row r="39" spans="1:5">
      <c r="A39" s="19" t="s">
        <v>7</v>
      </c>
      <c r="B39" s="20"/>
      <c r="C39" s="20"/>
      <c r="D39" s="26">
        <f>SUM(D38)</f>
        <v>0.92</v>
      </c>
      <c r="E39" s="25">
        <f>SUM(E38)</f>
        <v>22</v>
      </c>
    </row>
    <row r="40" spans="1:5">
      <c r="A40" s="20"/>
      <c r="B40" s="20"/>
      <c r="C40" s="20"/>
      <c r="D40" s="21"/>
      <c r="E40" s="22"/>
    </row>
    <row r="41" spans="1:5">
      <c r="A41" s="20" t="s">
        <v>229</v>
      </c>
      <c r="B41" s="20" t="s">
        <v>171</v>
      </c>
      <c r="C41" s="20" t="s">
        <v>25</v>
      </c>
      <c r="D41" s="21">
        <v>0.2</v>
      </c>
      <c r="E41" s="22">
        <v>5.25</v>
      </c>
    </row>
    <row r="42" spans="1:5">
      <c r="A42" s="20" t="s">
        <v>26</v>
      </c>
      <c r="B42" s="20" t="s">
        <v>171</v>
      </c>
      <c r="C42" s="20" t="s">
        <v>25</v>
      </c>
      <c r="D42" s="21">
        <v>0.27</v>
      </c>
      <c r="E42" s="22">
        <v>7.2</v>
      </c>
    </row>
    <row r="43" spans="1:5">
      <c r="A43" s="19" t="s">
        <v>7</v>
      </c>
      <c r="B43" s="20"/>
      <c r="C43" s="20"/>
      <c r="D43" s="26">
        <f>SUM(D41:D42)</f>
        <v>0.47000000000000003</v>
      </c>
      <c r="E43" s="25">
        <f>SUM(E41:E42)</f>
        <v>12.45</v>
      </c>
    </row>
    <row r="44" spans="1:5">
      <c r="A44" s="20"/>
      <c r="B44" s="20"/>
      <c r="C44" s="20"/>
      <c r="D44" s="21"/>
      <c r="E44" s="22"/>
    </row>
    <row r="45" spans="1:5">
      <c r="A45" s="20" t="s">
        <v>13</v>
      </c>
      <c r="B45" s="20" t="s">
        <v>172</v>
      </c>
      <c r="C45" s="20" t="s">
        <v>12</v>
      </c>
      <c r="D45" s="21">
        <v>0.25</v>
      </c>
      <c r="E45" s="22">
        <v>9.2899999999999991</v>
      </c>
    </row>
    <row r="46" spans="1:5">
      <c r="A46" s="19" t="s">
        <v>7</v>
      </c>
      <c r="B46" s="20"/>
      <c r="C46" s="20"/>
      <c r="D46" s="26">
        <f>SUM(D45:D45)</f>
        <v>0.25</v>
      </c>
      <c r="E46" s="25">
        <f>SUM(E45:E45)</f>
        <v>9.2899999999999991</v>
      </c>
    </row>
    <row r="47" spans="1:5">
      <c r="A47" s="19"/>
      <c r="B47" s="20"/>
      <c r="C47" s="20"/>
      <c r="D47" s="21"/>
      <c r="E47" s="22"/>
    </row>
    <row r="48" spans="1:5">
      <c r="A48" s="20" t="s">
        <v>205</v>
      </c>
      <c r="B48" s="23">
        <v>100035</v>
      </c>
      <c r="C48" s="20" t="s">
        <v>23</v>
      </c>
      <c r="D48" s="21">
        <v>2.82</v>
      </c>
      <c r="E48" s="22">
        <v>87.33</v>
      </c>
    </row>
    <row r="49" spans="1:6">
      <c r="A49" s="19" t="s">
        <v>7</v>
      </c>
      <c r="B49" s="20"/>
      <c r="C49" s="20"/>
      <c r="D49" s="26">
        <f>SUM(D48:D48)</f>
        <v>2.82</v>
      </c>
      <c r="E49" s="25">
        <f>SUM(E48:E48)</f>
        <v>87.33</v>
      </c>
    </row>
    <row r="50" spans="1:6">
      <c r="A50" s="19"/>
      <c r="B50" s="20"/>
      <c r="C50" s="20"/>
      <c r="D50" s="21"/>
      <c r="E50" s="22"/>
    </row>
    <row r="51" spans="1:6">
      <c r="A51" s="27" t="s">
        <v>173</v>
      </c>
      <c r="B51" s="27">
        <v>100051</v>
      </c>
      <c r="C51" s="27" t="s">
        <v>34</v>
      </c>
      <c r="D51" s="29">
        <v>9</v>
      </c>
      <c r="E51" s="30">
        <v>162</v>
      </c>
      <c r="F51" s="18" t="s">
        <v>300</v>
      </c>
    </row>
    <row r="52" spans="1:6">
      <c r="A52" s="27" t="s">
        <v>175</v>
      </c>
      <c r="B52" s="27">
        <v>100051</v>
      </c>
      <c r="C52" s="27" t="s">
        <v>34</v>
      </c>
      <c r="D52" s="29">
        <v>39.5</v>
      </c>
      <c r="E52" s="30">
        <v>711</v>
      </c>
      <c r="F52" s="18" t="s">
        <v>300</v>
      </c>
    </row>
    <row r="53" spans="1:6">
      <c r="A53" s="27" t="s">
        <v>36</v>
      </c>
      <c r="B53" s="27">
        <v>100051</v>
      </c>
      <c r="C53" s="27" t="s">
        <v>34</v>
      </c>
      <c r="D53" s="29">
        <v>19</v>
      </c>
      <c r="E53" s="30">
        <v>399</v>
      </c>
      <c r="F53" s="18" t="s">
        <v>300</v>
      </c>
    </row>
    <row r="54" spans="1:6">
      <c r="A54" s="27" t="s">
        <v>211</v>
      </c>
      <c r="B54" s="27">
        <v>100051</v>
      </c>
      <c r="C54" s="27" t="s">
        <v>34</v>
      </c>
      <c r="D54" s="29">
        <v>6.5</v>
      </c>
      <c r="E54" s="30">
        <v>117</v>
      </c>
      <c r="F54" s="18" t="s">
        <v>300</v>
      </c>
    </row>
    <row r="55" spans="1:6">
      <c r="A55" s="27" t="s">
        <v>212</v>
      </c>
      <c r="B55" s="27">
        <v>100051</v>
      </c>
      <c r="C55" s="27" t="s">
        <v>34</v>
      </c>
      <c r="D55" s="29">
        <v>14.5</v>
      </c>
      <c r="E55" s="30">
        <v>261</v>
      </c>
      <c r="F55" s="18" t="s">
        <v>300</v>
      </c>
    </row>
    <row r="56" spans="1:6">
      <c r="A56" s="27" t="s">
        <v>37</v>
      </c>
      <c r="B56" s="27">
        <v>100051</v>
      </c>
      <c r="C56" s="27" t="s">
        <v>34</v>
      </c>
      <c r="D56" s="29">
        <v>58.57</v>
      </c>
      <c r="E56" s="30">
        <v>1245.71</v>
      </c>
      <c r="F56" s="18" t="s">
        <v>300</v>
      </c>
    </row>
    <row r="57" spans="1:6">
      <c r="A57" s="27" t="s">
        <v>213</v>
      </c>
      <c r="B57" s="27">
        <v>100051</v>
      </c>
      <c r="C57" s="27" t="s">
        <v>34</v>
      </c>
      <c r="D57" s="29">
        <v>6.88</v>
      </c>
      <c r="E57" s="30">
        <v>123.9</v>
      </c>
      <c r="F57" s="18" t="s">
        <v>300</v>
      </c>
    </row>
    <row r="58" spans="1:6">
      <c r="A58" s="19" t="s">
        <v>7</v>
      </c>
      <c r="B58" s="20"/>
      <c r="C58" s="20"/>
      <c r="D58" s="26">
        <f>SUM(D52:D56)</f>
        <v>138.07</v>
      </c>
      <c r="E58" s="25">
        <f>SUM(E52:E56)</f>
        <v>2733.71</v>
      </c>
    </row>
    <row r="59" spans="1:6">
      <c r="A59" s="19"/>
      <c r="B59" s="20"/>
      <c r="C59" s="20"/>
      <c r="D59" s="26"/>
      <c r="E59" s="25"/>
    </row>
    <row r="60" spans="1:6">
      <c r="A60" s="20" t="s">
        <v>136</v>
      </c>
      <c r="B60" s="20">
        <v>250025</v>
      </c>
      <c r="C60" s="20" t="s">
        <v>302</v>
      </c>
      <c r="D60" s="21">
        <v>0.1</v>
      </c>
      <c r="E60" s="22">
        <v>2.94</v>
      </c>
    </row>
    <row r="61" spans="1:6">
      <c r="A61" s="19" t="s">
        <v>7</v>
      </c>
      <c r="B61" s="20"/>
      <c r="C61" s="20"/>
      <c r="D61" s="26">
        <v>0.1</v>
      </c>
      <c r="E61" s="25">
        <v>2.94</v>
      </c>
    </row>
    <row r="62" spans="1:6">
      <c r="A62" s="19"/>
      <c r="B62" s="20"/>
      <c r="C62" s="20"/>
      <c r="D62" s="26"/>
      <c r="E62" s="25"/>
    </row>
    <row r="63" spans="1:6">
      <c r="A63" s="20" t="s">
        <v>95</v>
      </c>
      <c r="B63" s="20" t="s">
        <v>180</v>
      </c>
      <c r="C63" s="20" t="s">
        <v>96</v>
      </c>
      <c r="D63" s="21">
        <v>1.88</v>
      </c>
      <c r="E63" s="22">
        <v>50.82</v>
      </c>
    </row>
    <row r="64" spans="1:6">
      <c r="A64" s="19" t="s">
        <v>7</v>
      </c>
      <c r="B64" s="20"/>
      <c r="C64" s="20"/>
      <c r="D64" s="26">
        <f>SUM(D63)</f>
        <v>1.88</v>
      </c>
      <c r="E64" s="25">
        <f>SUM(E63)</f>
        <v>50.82</v>
      </c>
    </row>
    <row r="65" spans="1:5">
      <c r="A65" s="20"/>
      <c r="B65" s="20"/>
      <c r="C65" s="20"/>
      <c r="D65" s="21"/>
      <c r="E65" s="22"/>
    </row>
    <row r="66" spans="1:5">
      <c r="A66" s="20" t="s">
        <v>244</v>
      </c>
      <c r="B66" s="20">
        <v>400020</v>
      </c>
      <c r="C66" s="20" t="s">
        <v>98</v>
      </c>
      <c r="D66" s="21">
        <v>0.33</v>
      </c>
      <c r="E66" s="22">
        <v>8</v>
      </c>
    </row>
    <row r="67" spans="1:5">
      <c r="A67" s="20" t="s">
        <v>97</v>
      </c>
      <c r="B67" s="20" t="s">
        <v>181</v>
      </c>
      <c r="C67" s="20" t="s">
        <v>98</v>
      </c>
      <c r="D67" s="21">
        <v>1.1000000000000001</v>
      </c>
      <c r="E67" s="22">
        <v>32.69</v>
      </c>
    </row>
    <row r="68" spans="1:5">
      <c r="A68" s="19" t="s">
        <v>7</v>
      </c>
      <c r="B68" s="20"/>
      <c r="C68" s="20"/>
      <c r="D68" s="26">
        <f>SUM(D66:D67)</f>
        <v>1.4300000000000002</v>
      </c>
      <c r="E68" s="25">
        <f>SUM(E66:E67)</f>
        <v>40.69</v>
      </c>
    </row>
    <row r="69" spans="1:5">
      <c r="A69" s="20"/>
      <c r="B69" s="20"/>
      <c r="C69" s="20"/>
      <c r="D69" s="21"/>
      <c r="E69" s="22"/>
    </row>
    <row r="70" spans="1:5">
      <c r="A70" s="20" t="s">
        <v>100</v>
      </c>
      <c r="B70" s="20" t="s">
        <v>182</v>
      </c>
      <c r="C70" s="20" t="s">
        <v>101</v>
      </c>
      <c r="D70" s="21">
        <v>1.03</v>
      </c>
      <c r="E70" s="22">
        <v>29.96</v>
      </c>
    </row>
    <row r="71" spans="1:5">
      <c r="A71" s="19" t="s">
        <v>7</v>
      </c>
      <c r="B71" s="20"/>
      <c r="C71" s="20"/>
      <c r="D71" s="26">
        <f>SUM(D70)</f>
        <v>1.03</v>
      </c>
      <c r="E71" s="25">
        <f>SUM(E70)</f>
        <v>29.96</v>
      </c>
    </row>
    <row r="72" spans="1:5">
      <c r="A72" s="19"/>
      <c r="B72" s="20"/>
      <c r="C72" s="20"/>
      <c r="D72" s="26"/>
      <c r="E72" s="25"/>
    </row>
    <row r="73" spans="1:5">
      <c r="A73" s="19"/>
      <c r="B73" s="20"/>
      <c r="C73" s="20"/>
      <c r="D73" s="21"/>
      <c r="E73" s="22"/>
    </row>
    <row r="74" spans="1:5">
      <c r="A74" s="19" t="s">
        <v>194</v>
      </c>
      <c r="B74" s="20"/>
      <c r="C74" s="20"/>
      <c r="D74" s="26">
        <f>D71+D68+D64+D61+D58+D49+D46+D43+D39+D36+D33+D29+D18+D14+D10+D7</f>
        <v>357.85</v>
      </c>
      <c r="E74" s="25">
        <f>E71+E68+E64+E61+E58+E49+E46+E43+E39+E36+E33+E29+E18+E14+E7</f>
        <v>7481.6499999999987</v>
      </c>
    </row>
    <row r="75" spans="1:5">
      <c r="A75" s="20"/>
      <c r="B75" s="20"/>
      <c r="C75" s="20"/>
      <c r="D75" s="20"/>
      <c r="E75" s="20"/>
    </row>
    <row r="76" spans="1:5">
      <c r="A76" s="20"/>
      <c r="B76" s="20"/>
      <c r="C76" s="20"/>
      <c r="D76" s="20"/>
      <c r="E76" s="20"/>
    </row>
    <row r="77" spans="1:5">
      <c r="A77" s="20"/>
      <c r="B77" s="20"/>
      <c r="C77" s="20"/>
      <c r="D77" s="20"/>
      <c r="E77" s="20"/>
    </row>
    <row r="78" spans="1:5">
      <c r="A78" s="20"/>
      <c r="B78" s="20"/>
      <c r="C78" s="20"/>
      <c r="D78" s="20"/>
      <c r="E78" s="20"/>
    </row>
    <row r="79" spans="1:5">
      <c r="A79" s="20"/>
      <c r="B79" s="20"/>
      <c r="C79" s="20"/>
      <c r="D79" s="20"/>
      <c r="E79" s="20"/>
    </row>
    <row r="80" spans="1:5">
      <c r="A80" s="20"/>
      <c r="B80" s="20"/>
      <c r="C80" s="20"/>
      <c r="D80" s="20"/>
      <c r="E80" s="20"/>
    </row>
    <row r="81" spans="1:5">
      <c r="A81" s="20"/>
      <c r="B81" s="20"/>
      <c r="C81" s="20"/>
      <c r="D81" s="20"/>
      <c r="E81" s="20"/>
    </row>
    <row r="82" spans="1:5">
      <c r="A82" s="20"/>
      <c r="B82" s="20"/>
      <c r="C82" s="20"/>
      <c r="D82" s="20"/>
      <c r="E82" s="20"/>
    </row>
    <row r="83" spans="1:5">
      <c r="A83" s="20"/>
      <c r="B83" s="20"/>
      <c r="C83" s="20"/>
      <c r="D83" s="20"/>
      <c r="E83" s="20"/>
    </row>
    <row r="84" spans="1:5">
      <c r="A84" s="20"/>
      <c r="B84" s="20"/>
      <c r="C84" s="20"/>
      <c r="D84" s="20"/>
      <c r="E84" s="20"/>
    </row>
    <row r="85" spans="1:5">
      <c r="A85" s="20"/>
      <c r="B85" s="20"/>
      <c r="C85" s="20"/>
      <c r="D85" s="20"/>
      <c r="E85" s="20"/>
    </row>
  </sheetData>
  <mergeCells count="3">
    <mergeCell ref="G1:J1"/>
    <mergeCell ref="G2:J2"/>
    <mergeCell ref="G4:J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2"/>
  <sheetViews>
    <sheetView workbookViewId="0">
      <selection activeCell="G4" sqref="G4:I4"/>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46" bestFit="1" customWidth="1"/>
    <col min="7" max="7" width="19.7109375" customWidth="1"/>
    <col min="8" max="8" width="18.5703125" customWidth="1"/>
    <col min="9" max="9" width="20.42578125" customWidth="1"/>
  </cols>
  <sheetData>
    <row r="1" spans="1:9">
      <c r="A1" s="19" t="s">
        <v>147</v>
      </c>
      <c r="B1" s="19" t="s">
        <v>148</v>
      </c>
      <c r="C1" s="19" t="s">
        <v>149</v>
      </c>
      <c r="D1" s="19" t="s">
        <v>150</v>
      </c>
      <c r="E1" s="19" t="s">
        <v>151</v>
      </c>
      <c r="F1" s="19" t="s">
        <v>258</v>
      </c>
      <c r="G1" s="38" t="s">
        <v>259</v>
      </c>
      <c r="H1" s="39" t="s">
        <v>261</v>
      </c>
      <c r="I1" s="58" t="s">
        <v>303</v>
      </c>
    </row>
    <row r="2" spans="1:9">
      <c r="A2" s="20" t="s">
        <v>20</v>
      </c>
      <c r="B2" s="20" t="s">
        <v>152</v>
      </c>
      <c r="C2" s="20" t="s">
        <v>15</v>
      </c>
      <c r="D2" s="21">
        <v>1.05</v>
      </c>
      <c r="E2" s="22">
        <v>27.58</v>
      </c>
      <c r="G2" s="13">
        <f>E19+E22+E23+E40+E41+E42</f>
        <v>2644.2499999999995</v>
      </c>
      <c r="H2" s="52">
        <f>E58</f>
        <v>143.44</v>
      </c>
      <c r="I2" s="59">
        <f>E12</f>
        <v>220.5</v>
      </c>
    </row>
    <row r="3" spans="1:9">
      <c r="A3" s="20" t="s">
        <v>18</v>
      </c>
      <c r="B3" s="20" t="s">
        <v>152</v>
      </c>
      <c r="C3" s="20" t="s">
        <v>15</v>
      </c>
      <c r="D3" s="21">
        <v>0.38</v>
      </c>
      <c r="E3" s="22">
        <v>10.67</v>
      </c>
      <c r="G3" s="18"/>
      <c r="H3" s="18"/>
      <c r="I3" s="18"/>
    </row>
    <row r="4" spans="1:9">
      <c r="A4" s="20" t="s">
        <v>19</v>
      </c>
      <c r="B4" s="23" t="s">
        <v>152</v>
      </c>
      <c r="C4" s="20" t="s">
        <v>15</v>
      </c>
      <c r="D4" s="21">
        <v>0.55000000000000004</v>
      </c>
      <c r="E4" s="22">
        <v>16.420000000000002</v>
      </c>
      <c r="G4" s="305" t="s">
        <v>263</v>
      </c>
      <c r="H4" s="306"/>
      <c r="I4" s="306"/>
    </row>
    <row r="5" spans="1:9">
      <c r="A5" s="20" t="s">
        <v>16</v>
      </c>
      <c r="B5" s="23" t="s">
        <v>152</v>
      </c>
      <c r="C5" s="20" t="s">
        <v>15</v>
      </c>
      <c r="D5" s="21">
        <v>0.3</v>
      </c>
      <c r="E5" s="22">
        <v>8.2200000000000006</v>
      </c>
    </row>
    <row r="6" spans="1:9">
      <c r="A6" s="19" t="s">
        <v>7</v>
      </c>
      <c r="B6" s="20"/>
      <c r="C6" s="20"/>
      <c r="D6" s="24">
        <f>SUM(D2:D5)</f>
        <v>2.2800000000000002</v>
      </c>
      <c r="E6" s="25">
        <f>SUM(E2:E5)</f>
        <v>62.89</v>
      </c>
    </row>
    <row r="7" spans="1:9">
      <c r="A7" s="19"/>
      <c r="B7" s="20"/>
      <c r="C7" s="20"/>
      <c r="D7" s="24"/>
      <c r="E7" s="25"/>
    </row>
    <row r="8" spans="1:9">
      <c r="A8" s="20" t="s">
        <v>28</v>
      </c>
      <c r="B8" s="23" t="s">
        <v>217</v>
      </c>
      <c r="C8" s="20" t="s">
        <v>218</v>
      </c>
      <c r="D8" s="55">
        <v>0.6</v>
      </c>
      <c r="E8" s="22">
        <v>16.649999999999999</v>
      </c>
    </row>
    <row r="9" spans="1:9">
      <c r="A9" s="19" t="s">
        <v>7</v>
      </c>
      <c r="B9" s="20"/>
      <c r="C9" s="20"/>
      <c r="D9" s="24">
        <v>0.6</v>
      </c>
      <c r="E9" s="25">
        <v>16.649999999999999</v>
      </c>
    </row>
    <row r="10" spans="1:9">
      <c r="A10" s="19"/>
      <c r="B10" s="20"/>
      <c r="C10" s="20"/>
      <c r="D10" s="26"/>
      <c r="E10" s="25"/>
    </row>
    <row r="11" spans="1:9">
      <c r="A11" s="20" t="s">
        <v>30</v>
      </c>
      <c r="B11" s="20" t="s">
        <v>155</v>
      </c>
      <c r="C11" s="20" t="s">
        <v>31</v>
      </c>
      <c r="D11" s="21">
        <v>0.08</v>
      </c>
      <c r="E11" s="22">
        <v>2.19</v>
      </c>
    </row>
    <row r="12" spans="1:9">
      <c r="A12" s="60" t="s">
        <v>195</v>
      </c>
      <c r="B12" s="61" t="s">
        <v>155</v>
      </c>
      <c r="C12" s="60" t="s">
        <v>196</v>
      </c>
      <c r="D12" s="62">
        <v>7.35</v>
      </c>
      <c r="E12" s="63">
        <v>220.5</v>
      </c>
      <c r="F12" s="65" t="s">
        <v>304</v>
      </c>
    </row>
    <row r="13" spans="1:9">
      <c r="A13" s="19" t="s">
        <v>7</v>
      </c>
      <c r="B13" s="20"/>
      <c r="C13" s="20"/>
      <c r="D13" s="26">
        <f>SUM(D11:D12)</f>
        <v>7.43</v>
      </c>
      <c r="E13" s="25">
        <f>SUM(E11:E12)</f>
        <v>222.69</v>
      </c>
    </row>
    <row r="14" spans="1:9">
      <c r="A14" s="19"/>
      <c r="B14" s="20"/>
      <c r="C14" s="20"/>
      <c r="D14" s="26"/>
      <c r="E14" s="25"/>
    </row>
    <row r="15" spans="1:9">
      <c r="A15" s="20" t="s">
        <v>92</v>
      </c>
      <c r="B15" s="23" t="s">
        <v>156</v>
      </c>
      <c r="C15" s="20" t="s">
        <v>91</v>
      </c>
      <c r="D15" s="21">
        <v>0.52</v>
      </c>
      <c r="E15" s="22">
        <v>13.67</v>
      </c>
    </row>
    <row r="16" spans="1:9">
      <c r="A16" s="19" t="s">
        <v>7</v>
      </c>
      <c r="B16" s="20"/>
      <c r="C16" s="20"/>
      <c r="D16" s="26">
        <f>SUM(D15:D15)</f>
        <v>0.52</v>
      </c>
      <c r="E16" s="25">
        <f>SUM(E15:E15)</f>
        <v>13.67</v>
      </c>
    </row>
    <row r="17" spans="1:6">
      <c r="A17" s="20"/>
      <c r="B17" s="20"/>
      <c r="C17" s="20"/>
      <c r="D17" s="21"/>
      <c r="E17" s="22"/>
    </row>
    <row r="18" spans="1:6">
      <c r="A18" s="20" t="s">
        <v>210</v>
      </c>
      <c r="B18" s="23" t="s">
        <v>157</v>
      </c>
      <c r="C18" s="20" t="s">
        <v>66</v>
      </c>
      <c r="D18" s="20">
        <v>2.5</v>
      </c>
      <c r="E18" s="22">
        <v>48.75</v>
      </c>
    </row>
    <row r="19" spans="1:6">
      <c r="A19" s="27" t="s">
        <v>35</v>
      </c>
      <c r="B19" s="28" t="s">
        <v>157</v>
      </c>
      <c r="C19" s="27" t="s">
        <v>66</v>
      </c>
      <c r="D19" s="27">
        <v>6.17</v>
      </c>
      <c r="E19" s="30">
        <v>138.75</v>
      </c>
      <c r="F19" s="27" t="s">
        <v>305</v>
      </c>
    </row>
    <row r="20" spans="1:6">
      <c r="A20" s="19" t="s">
        <v>7</v>
      </c>
      <c r="B20" s="20"/>
      <c r="C20" s="20"/>
      <c r="D20" s="26">
        <f>SUM(D18:D19)</f>
        <v>8.67</v>
      </c>
      <c r="E20" s="25">
        <f>SUM(E18:E19)</f>
        <v>187.5</v>
      </c>
    </row>
    <row r="21" spans="1:6">
      <c r="A21" s="19"/>
      <c r="B21" s="20"/>
      <c r="C21" s="20"/>
      <c r="D21" s="26"/>
      <c r="E21" s="25"/>
    </row>
    <row r="22" spans="1:6">
      <c r="A22" s="27" t="s">
        <v>52</v>
      </c>
      <c r="B22" s="28" t="s">
        <v>162</v>
      </c>
      <c r="C22" s="27" t="s">
        <v>51</v>
      </c>
      <c r="D22" s="29">
        <f>4.47+3</f>
        <v>7.47</v>
      </c>
      <c r="E22" s="30">
        <f>97.15+65.25</f>
        <v>162.4</v>
      </c>
      <c r="F22" s="56" t="s">
        <v>300</v>
      </c>
    </row>
    <row r="23" spans="1:6">
      <c r="A23" s="27" t="s">
        <v>163</v>
      </c>
      <c r="B23" s="28" t="s">
        <v>162</v>
      </c>
      <c r="C23" s="27" t="s">
        <v>51</v>
      </c>
      <c r="D23" s="29">
        <f>23.37+10.08</f>
        <v>33.450000000000003</v>
      </c>
      <c r="E23" s="30">
        <f>560.8+242</f>
        <v>802.8</v>
      </c>
      <c r="F23" s="56" t="s">
        <v>300</v>
      </c>
    </row>
    <row r="24" spans="1:6">
      <c r="A24" s="19" t="s">
        <v>7</v>
      </c>
      <c r="B24" s="20"/>
      <c r="C24" s="20"/>
      <c r="D24" s="26">
        <f>SUM(D22:D23)</f>
        <v>40.92</v>
      </c>
      <c r="E24" s="25">
        <f>SUM(E22:E23)</f>
        <v>965.19999999999993</v>
      </c>
    </row>
    <row r="25" spans="1:6">
      <c r="A25" s="19"/>
      <c r="B25" s="20"/>
      <c r="C25" s="20"/>
      <c r="D25" s="21"/>
      <c r="E25" s="22"/>
    </row>
    <row r="26" spans="1:6">
      <c r="A26" s="20" t="s">
        <v>239</v>
      </c>
      <c r="B26" s="23" t="s">
        <v>240</v>
      </c>
      <c r="C26" s="20" t="s">
        <v>241</v>
      </c>
      <c r="D26" s="21">
        <v>0.15</v>
      </c>
      <c r="E26" s="22">
        <v>3.6</v>
      </c>
    </row>
    <row r="27" spans="1:6">
      <c r="A27" s="19" t="s">
        <v>7</v>
      </c>
      <c r="B27" s="20"/>
      <c r="C27" s="20"/>
      <c r="D27" s="26">
        <f>SUM(D26)</f>
        <v>0.15</v>
      </c>
      <c r="E27" s="25">
        <f>SUM(E26)</f>
        <v>3.6</v>
      </c>
    </row>
    <row r="28" spans="1:6">
      <c r="A28" s="20"/>
      <c r="B28" s="20"/>
      <c r="C28" s="20"/>
      <c r="D28" s="21"/>
      <c r="E28" s="22"/>
    </row>
    <row r="29" spans="1:6">
      <c r="A29" s="20" t="s">
        <v>229</v>
      </c>
      <c r="B29" s="20" t="s">
        <v>171</v>
      </c>
      <c r="C29" s="20" t="s">
        <v>25</v>
      </c>
      <c r="D29" s="21">
        <v>0.02</v>
      </c>
      <c r="E29" s="22">
        <v>0.44</v>
      </c>
    </row>
    <row r="30" spans="1:6">
      <c r="A30" s="20" t="s">
        <v>306</v>
      </c>
      <c r="B30" s="23" t="s">
        <v>171</v>
      </c>
      <c r="C30" s="20" t="s">
        <v>25</v>
      </c>
      <c r="D30" s="21">
        <v>0.13</v>
      </c>
      <c r="E30" s="22">
        <v>3.5</v>
      </c>
    </row>
    <row r="31" spans="1:6">
      <c r="A31" s="20" t="s">
        <v>26</v>
      </c>
      <c r="B31" s="20" t="s">
        <v>171</v>
      </c>
      <c r="C31" s="20" t="s">
        <v>25</v>
      </c>
      <c r="D31" s="21">
        <v>0.03</v>
      </c>
      <c r="E31" s="22">
        <v>0.9</v>
      </c>
    </row>
    <row r="32" spans="1:6">
      <c r="A32" s="19" t="s">
        <v>7</v>
      </c>
      <c r="B32" s="20"/>
      <c r="C32" s="20"/>
      <c r="D32" s="26">
        <f>SUM(D29:D31)</f>
        <v>0.18</v>
      </c>
      <c r="E32" s="25">
        <f>SUM(E29:E31)</f>
        <v>4.84</v>
      </c>
    </row>
    <row r="33" spans="1:6">
      <c r="A33" s="20"/>
      <c r="B33" s="20"/>
      <c r="C33" s="20"/>
      <c r="D33" s="21"/>
      <c r="E33" s="22"/>
    </row>
    <row r="34" spans="1:6">
      <c r="A34" s="20" t="s">
        <v>13</v>
      </c>
      <c r="B34" s="20" t="s">
        <v>172</v>
      </c>
      <c r="C34" s="20" t="s">
        <v>12</v>
      </c>
      <c r="D34" s="21">
        <v>1.8</v>
      </c>
      <c r="E34" s="22">
        <v>66.849999999999994</v>
      </c>
    </row>
    <row r="35" spans="1:6">
      <c r="A35" s="19" t="s">
        <v>7</v>
      </c>
      <c r="B35" s="20"/>
      <c r="C35" s="20"/>
      <c r="D35" s="26">
        <f>SUM(D34:D34)</f>
        <v>1.8</v>
      </c>
      <c r="E35" s="25">
        <f>SUM(E34:E34)</f>
        <v>66.849999999999994</v>
      </c>
    </row>
    <row r="36" spans="1:6">
      <c r="A36" s="19"/>
      <c r="B36" s="20"/>
      <c r="C36" s="20"/>
      <c r="D36" s="21"/>
      <c r="E36" s="22"/>
    </row>
    <row r="37" spans="1:6">
      <c r="A37" s="20" t="s">
        <v>307</v>
      </c>
      <c r="B37" s="20">
        <v>100035</v>
      </c>
      <c r="C37" s="20" t="s">
        <v>23</v>
      </c>
      <c r="D37" s="21">
        <v>0.63</v>
      </c>
      <c r="E37" s="22">
        <f>24.34*0.63</f>
        <v>15.334199999999999</v>
      </c>
    </row>
    <row r="38" spans="1:6">
      <c r="A38" s="19" t="s">
        <v>7</v>
      </c>
      <c r="B38" s="20"/>
      <c r="C38" s="20"/>
      <c r="D38" s="26">
        <f>SUM(D37:D37)</f>
        <v>0.63</v>
      </c>
      <c r="E38" s="25">
        <f>SUM(E37:E37)</f>
        <v>15.334199999999999</v>
      </c>
    </row>
    <row r="39" spans="1:6">
      <c r="A39" s="19"/>
      <c r="B39" s="20"/>
      <c r="C39" s="20"/>
      <c r="D39" s="21"/>
      <c r="E39" s="22"/>
    </row>
    <row r="40" spans="1:6">
      <c r="A40" s="27" t="s">
        <v>175</v>
      </c>
      <c r="B40" s="27">
        <v>100051</v>
      </c>
      <c r="C40" s="27" t="s">
        <v>34</v>
      </c>
      <c r="D40" s="29">
        <v>11</v>
      </c>
      <c r="E40" s="30">
        <f>54.9+143.1</f>
        <v>198</v>
      </c>
      <c r="F40" s="56" t="s">
        <v>300</v>
      </c>
    </row>
    <row r="41" spans="1:6">
      <c r="A41" s="27" t="s">
        <v>36</v>
      </c>
      <c r="B41" s="27">
        <v>100051</v>
      </c>
      <c r="C41" s="27" t="s">
        <v>34</v>
      </c>
      <c r="D41" s="29">
        <v>40.119999999999997</v>
      </c>
      <c r="E41" s="30">
        <v>842.45</v>
      </c>
      <c r="F41" s="56" t="s">
        <v>300</v>
      </c>
    </row>
    <row r="42" spans="1:6">
      <c r="A42" s="27" t="s">
        <v>37</v>
      </c>
      <c r="B42" s="27">
        <v>100051</v>
      </c>
      <c r="C42" s="27" t="s">
        <v>34</v>
      </c>
      <c r="D42" s="29">
        <v>23.5</v>
      </c>
      <c r="E42" s="30">
        <v>499.85</v>
      </c>
      <c r="F42" s="56" t="s">
        <v>300</v>
      </c>
    </row>
    <row r="43" spans="1:6">
      <c r="A43" s="19" t="s">
        <v>7</v>
      </c>
      <c r="B43" s="20"/>
      <c r="C43" s="20"/>
      <c r="D43" s="26">
        <f>SUM(D40:D42)</f>
        <v>74.62</v>
      </c>
      <c r="E43" s="25">
        <f>SUM(E40:E42)</f>
        <v>1540.3000000000002</v>
      </c>
    </row>
    <row r="44" spans="1:6">
      <c r="A44" s="19"/>
      <c r="B44" s="20"/>
      <c r="C44" s="20"/>
      <c r="D44" s="26"/>
      <c r="E44" s="25"/>
    </row>
    <row r="45" spans="1:6">
      <c r="A45" s="20" t="s">
        <v>136</v>
      </c>
      <c r="B45" s="20">
        <v>250025</v>
      </c>
      <c r="C45" s="20" t="s">
        <v>302</v>
      </c>
      <c r="D45" s="21">
        <v>0.18</v>
      </c>
      <c r="E45" s="22">
        <v>5.38</v>
      </c>
    </row>
    <row r="46" spans="1:6">
      <c r="A46" s="19" t="s">
        <v>7</v>
      </c>
      <c r="B46" s="20"/>
      <c r="C46" s="20"/>
      <c r="D46" s="26">
        <v>0.18</v>
      </c>
      <c r="E46" s="25">
        <v>5.38</v>
      </c>
    </row>
    <row r="47" spans="1:6">
      <c r="A47" s="19"/>
      <c r="B47" s="20"/>
      <c r="C47" s="20"/>
      <c r="D47" s="26"/>
      <c r="E47" s="25"/>
    </row>
    <row r="48" spans="1:6">
      <c r="A48" s="20" t="s">
        <v>95</v>
      </c>
      <c r="B48" s="20" t="s">
        <v>180</v>
      </c>
      <c r="C48" s="20" t="s">
        <v>96</v>
      </c>
      <c r="D48" s="21">
        <v>4.05</v>
      </c>
      <c r="E48" s="22">
        <v>109.29</v>
      </c>
    </row>
    <row r="49" spans="1:6">
      <c r="A49" s="19" t="s">
        <v>7</v>
      </c>
      <c r="B49" s="20"/>
      <c r="C49" s="20"/>
      <c r="D49" s="26">
        <f>SUM(D48)</f>
        <v>4.05</v>
      </c>
      <c r="E49" s="25">
        <f>SUM(E48)</f>
        <v>109.29</v>
      </c>
    </row>
    <row r="50" spans="1:6">
      <c r="A50" s="20"/>
      <c r="B50" s="20"/>
      <c r="C50" s="20"/>
      <c r="D50" s="21"/>
      <c r="E50" s="22"/>
    </row>
    <row r="51" spans="1:6">
      <c r="A51" s="20" t="s">
        <v>244</v>
      </c>
      <c r="B51" s="20">
        <v>400020</v>
      </c>
      <c r="C51" s="20" t="s">
        <v>98</v>
      </c>
      <c r="D51" s="21">
        <v>0.57999999999999996</v>
      </c>
      <c r="E51" s="22">
        <v>14</v>
      </c>
    </row>
    <row r="52" spans="1:6">
      <c r="A52" s="20" t="s">
        <v>97</v>
      </c>
      <c r="B52" s="20" t="s">
        <v>181</v>
      </c>
      <c r="C52" s="20" t="s">
        <v>98</v>
      </c>
      <c r="D52" s="21">
        <v>2.37</v>
      </c>
      <c r="E52" s="22">
        <v>70.33</v>
      </c>
    </row>
    <row r="53" spans="1:6">
      <c r="A53" s="19" t="s">
        <v>7</v>
      </c>
      <c r="B53" s="20"/>
      <c r="C53" s="20"/>
      <c r="D53" s="26">
        <f>SUM(D51:D52)</f>
        <v>2.95</v>
      </c>
      <c r="E53" s="25">
        <f>SUM(E51:E52)</f>
        <v>84.33</v>
      </c>
    </row>
    <row r="54" spans="1:6">
      <c r="A54" s="20"/>
      <c r="B54" s="20"/>
      <c r="C54" s="20"/>
      <c r="D54" s="21"/>
      <c r="E54" s="22"/>
    </row>
    <row r="55" spans="1:6">
      <c r="A55" s="20" t="s">
        <v>100</v>
      </c>
      <c r="B55" s="20" t="s">
        <v>182</v>
      </c>
      <c r="C55" s="20" t="s">
        <v>101</v>
      </c>
      <c r="D55" s="21">
        <v>0.03</v>
      </c>
      <c r="E55" s="22">
        <v>0.97</v>
      </c>
    </row>
    <row r="56" spans="1:6">
      <c r="A56" s="19" t="s">
        <v>7</v>
      </c>
      <c r="B56" s="20"/>
      <c r="C56" s="20"/>
      <c r="D56" s="26">
        <f>SUM(D55)</f>
        <v>0.03</v>
      </c>
      <c r="E56" s="25">
        <f>SUM(E55)</f>
        <v>0.97</v>
      </c>
    </row>
    <row r="57" spans="1:6">
      <c r="A57" s="19"/>
      <c r="B57" s="20"/>
      <c r="C57" s="20"/>
      <c r="D57" s="26"/>
      <c r="E57" s="25"/>
    </row>
    <row r="58" spans="1:6">
      <c r="A58" s="32" t="s">
        <v>123</v>
      </c>
      <c r="B58" s="32">
        <v>450051</v>
      </c>
      <c r="C58" s="32" t="s">
        <v>279</v>
      </c>
      <c r="D58" s="33">
        <v>8.5</v>
      </c>
      <c r="E58" s="34">
        <v>143.44</v>
      </c>
      <c r="F58" s="57" t="s">
        <v>308</v>
      </c>
    </row>
    <row r="59" spans="1:6">
      <c r="A59" s="20" t="s">
        <v>124</v>
      </c>
      <c r="B59" s="20">
        <v>450051</v>
      </c>
      <c r="C59" s="20" t="s">
        <v>279</v>
      </c>
      <c r="D59" s="21">
        <v>2</v>
      </c>
      <c r="E59" s="22">
        <v>45</v>
      </c>
    </row>
    <row r="60" spans="1:6">
      <c r="A60" s="19" t="s">
        <v>7</v>
      </c>
      <c r="B60" s="20"/>
      <c r="C60" s="20"/>
      <c r="D60" s="26">
        <f>SUM(D58:D59)</f>
        <v>10.5</v>
      </c>
      <c r="E60" s="25">
        <f>SUM(E58:E59)</f>
        <v>188.44</v>
      </c>
    </row>
    <row r="61" spans="1:6">
      <c r="A61" s="19"/>
      <c r="B61" s="20"/>
      <c r="C61" s="20"/>
      <c r="D61" s="21"/>
      <c r="E61" s="22"/>
    </row>
    <row r="62" spans="1:6">
      <c r="A62" s="19" t="s">
        <v>194</v>
      </c>
      <c r="B62" s="20"/>
      <c r="C62" s="20"/>
      <c r="D62" s="26">
        <f>D60+D56+D53+D49+D46+D43+D38+D35+D32+D27+D24+D20+D16+D13+D9+D6</f>
        <v>155.51000000000002</v>
      </c>
      <c r="E62" s="25">
        <f>E60+E56+E53+E49+E46+E43+E38+E35+E32+E27+E24+E20+E16+E13+E9+E6</f>
        <v>3487.9342000000001</v>
      </c>
    </row>
  </sheetData>
  <mergeCells count="1">
    <mergeCell ref="G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27"/>
  <sheetViews>
    <sheetView workbookViewId="0">
      <selection activeCell="F1" sqref="F1"/>
    </sheetView>
  </sheetViews>
  <sheetFormatPr defaultRowHeight="12.75"/>
  <cols>
    <col min="1" max="1" width="22.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48.42578125" style="18" customWidth="1"/>
    <col min="7" max="7" width="20" style="18" customWidth="1"/>
    <col min="8" max="8" width="19" style="18" customWidth="1"/>
    <col min="9" max="9" width="19.85546875" style="18" customWidth="1"/>
    <col min="10" max="16384" width="9.140625" style="18"/>
  </cols>
  <sheetData>
    <row r="1" spans="1:9">
      <c r="A1" s="19" t="s">
        <v>147</v>
      </c>
      <c r="B1" s="19" t="s">
        <v>148</v>
      </c>
      <c r="C1" s="19" t="s">
        <v>149</v>
      </c>
      <c r="D1" s="19" t="s">
        <v>150</v>
      </c>
      <c r="E1" s="19" t="s">
        <v>151</v>
      </c>
      <c r="F1" s="19" t="s">
        <v>258</v>
      </c>
      <c r="G1" s="38" t="s">
        <v>259</v>
      </c>
      <c r="H1" s="39" t="s">
        <v>261</v>
      </c>
      <c r="I1" s="40" t="s">
        <v>260</v>
      </c>
    </row>
    <row r="2" spans="1:9">
      <c r="A2" s="20" t="s">
        <v>20</v>
      </c>
      <c r="B2" s="20" t="s">
        <v>152</v>
      </c>
      <c r="C2" s="20" t="s">
        <v>15</v>
      </c>
      <c r="D2" s="21">
        <v>0.48</v>
      </c>
      <c r="E2" s="22">
        <v>12.69</v>
      </c>
      <c r="G2" s="13">
        <f>E20+E22+E23+E24+E25+E26+E27+E28+E29+E30+E31+E32+E33+E35+E38+E44+E45+E46+E47+E68+E69+E70+E71</f>
        <v>7141.8700000000008</v>
      </c>
      <c r="H2" s="52">
        <f>E90</f>
        <v>374.09</v>
      </c>
      <c r="I2" s="66">
        <f>E77</f>
        <v>288.29000000000002</v>
      </c>
    </row>
    <row r="3" spans="1:9">
      <c r="A3" s="20" t="s">
        <v>18</v>
      </c>
      <c r="B3" s="20" t="s">
        <v>152</v>
      </c>
      <c r="C3" s="20" t="s">
        <v>15</v>
      </c>
      <c r="D3" s="21">
        <v>1.23</v>
      </c>
      <c r="E3" s="22">
        <v>34.340000000000003</v>
      </c>
    </row>
    <row r="4" spans="1:9">
      <c r="A4" s="20" t="s">
        <v>19</v>
      </c>
      <c r="B4" s="23" t="s">
        <v>152</v>
      </c>
      <c r="C4" s="20" t="s">
        <v>15</v>
      </c>
      <c r="D4" s="21">
        <v>0.98</v>
      </c>
      <c r="E4" s="22">
        <v>29.35</v>
      </c>
      <c r="G4" s="305" t="s">
        <v>263</v>
      </c>
      <c r="H4" s="306"/>
      <c r="I4" s="306"/>
    </row>
    <row r="5" spans="1:9">
      <c r="A5" s="20" t="s">
        <v>16</v>
      </c>
      <c r="B5" s="23" t="s">
        <v>152</v>
      </c>
      <c r="C5" s="20" t="s">
        <v>15</v>
      </c>
      <c r="D5" s="21">
        <v>1.03</v>
      </c>
      <c r="E5" s="22">
        <v>28.32</v>
      </c>
    </row>
    <row r="6" spans="1:9">
      <c r="A6" s="19" t="s">
        <v>7</v>
      </c>
      <c r="B6" s="20"/>
      <c r="C6" s="20"/>
      <c r="D6" s="24">
        <f>SUM(D2:D5)</f>
        <v>3.7199999999999998</v>
      </c>
      <c r="E6" s="25">
        <f>SUM(E2:E5)</f>
        <v>104.69999999999999</v>
      </c>
    </row>
    <row r="7" spans="1:9">
      <c r="A7" s="19"/>
      <c r="B7" s="20"/>
      <c r="C7" s="20"/>
      <c r="D7" s="24"/>
      <c r="E7" s="25"/>
    </row>
    <row r="8" spans="1:9">
      <c r="A8" s="20" t="s">
        <v>28</v>
      </c>
      <c r="B8" s="23" t="s">
        <v>217</v>
      </c>
      <c r="C8" s="20" t="s">
        <v>218</v>
      </c>
      <c r="D8" s="55">
        <v>0.13</v>
      </c>
      <c r="E8" s="22">
        <v>3.7</v>
      </c>
    </row>
    <row r="9" spans="1:9">
      <c r="A9" s="20" t="s">
        <v>309</v>
      </c>
      <c r="B9" s="23" t="s">
        <v>217</v>
      </c>
      <c r="C9" s="20" t="s">
        <v>218</v>
      </c>
      <c r="D9" s="55">
        <v>7.0000000000000007E-2</v>
      </c>
      <c r="E9" s="22">
        <v>1.63</v>
      </c>
    </row>
    <row r="10" spans="1:9">
      <c r="A10" s="19" t="s">
        <v>7</v>
      </c>
      <c r="B10" s="20"/>
      <c r="C10" s="20"/>
      <c r="D10" s="24">
        <f>SUM(D8:D9)</f>
        <v>0.2</v>
      </c>
      <c r="E10" s="25">
        <f>SUM(E8:E9)</f>
        <v>5.33</v>
      </c>
    </row>
    <row r="11" spans="1:9">
      <c r="A11" s="19"/>
      <c r="B11" s="20"/>
      <c r="C11" s="20"/>
      <c r="D11" s="26"/>
      <c r="E11" s="25"/>
    </row>
    <row r="12" spans="1:9">
      <c r="A12" s="20" t="s">
        <v>30</v>
      </c>
      <c r="B12" s="20" t="s">
        <v>155</v>
      </c>
      <c r="C12" s="20" t="s">
        <v>31</v>
      </c>
      <c r="D12" s="21">
        <v>0.67</v>
      </c>
      <c r="E12" s="22">
        <v>17.510000000000002</v>
      </c>
    </row>
    <row r="13" spans="1:9">
      <c r="A13" s="20" t="s">
        <v>195</v>
      </c>
      <c r="B13" s="23" t="s">
        <v>155</v>
      </c>
      <c r="C13" s="20" t="s">
        <v>196</v>
      </c>
      <c r="D13" s="21">
        <v>2.63</v>
      </c>
      <c r="E13" s="22">
        <v>79</v>
      </c>
    </row>
    <row r="14" spans="1:9">
      <c r="A14" s="19" t="s">
        <v>7</v>
      </c>
      <c r="B14" s="20"/>
      <c r="C14" s="20"/>
      <c r="D14" s="26">
        <f>SUM(D12:D13)</f>
        <v>3.3</v>
      </c>
      <c r="E14" s="25">
        <f>SUM(E12:E13)</f>
        <v>96.51</v>
      </c>
    </row>
    <row r="15" spans="1:9">
      <c r="A15" s="19"/>
      <c r="B15" s="20"/>
      <c r="C15" s="20"/>
      <c r="D15" s="26"/>
      <c r="E15" s="25"/>
    </row>
    <row r="16" spans="1:9">
      <c r="A16" s="20" t="s">
        <v>14</v>
      </c>
      <c r="B16" s="23" t="s">
        <v>156</v>
      </c>
      <c r="C16" s="20" t="s">
        <v>91</v>
      </c>
      <c r="D16" s="21">
        <v>0.32</v>
      </c>
      <c r="E16" s="22">
        <v>8.08</v>
      </c>
    </row>
    <row r="17" spans="1:6">
      <c r="A17" s="20" t="s">
        <v>92</v>
      </c>
      <c r="B17" s="23" t="s">
        <v>156</v>
      </c>
      <c r="C17" s="20" t="s">
        <v>91</v>
      </c>
      <c r="D17" s="21">
        <v>0.13</v>
      </c>
      <c r="E17" s="22">
        <v>3.53</v>
      </c>
    </row>
    <row r="18" spans="1:6">
      <c r="A18" s="19" t="s">
        <v>7</v>
      </c>
      <c r="B18" s="20"/>
      <c r="C18" s="20"/>
      <c r="D18" s="26">
        <f>SUM(D16:D17)</f>
        <v>0.45</v>
      </c>
      <c r="E18" s="25">
        <f>SUM(E16:E17)</f>
        <v>11.61</v>
      </c>
    </row>
    <row r="19" spans="1:6">
      <c r="A19" s="20"/>
      <c r="B19" s="20"/>
      <c r="C19" s="20"/>
      <c r="D19" s="21"/>
      <c r="E19" s="22"/>
    </row>
    <row r="20" spans="1:6">
      <c r="A20" s="27" t="s">
        <v>266</v>
      </c>
      <c r="B20" s="28" t="s">
        <v>157</v>
      </c>
      <c r="C20" s="27" t="s">
        <v>66</v>
      </c>
      <c r="D20" s="29">
        <v>6.07</v>
      </c>
      <c r="E20" s="30">
        <v>118.3</v>
      </c>
      <c r="F20" s="31" t="s">
        <v>310</v>
      </c>
    </row>
    <row r="21" spans="1:6">
      <c r="A21" s="20" t="s">
        <v>290</v>
      </c>
      <c r="B21" s="23" t="s">
        <v>157</v>
      </c>
      <c r="C21" s="20" t="s">
        <v>66</v>
      </c>
      <c r="D21" s="21">
        <v>1.6</v>
      </c>
      <c r="E21" s="22">
        <v>31.2</v>
      </c>
    </row>
    <row r="22" spans="1:6">
      <c r="A22" s="27" t="s">
        <v>228</v>
      </c>
      <c r="B22" s="28" t="s">
        <v>157</v>
      </c>
      <c r="C22" s="27" t="s">
        <v>66</v>
      </c>
      <c r="D22" s="29">
        <v>10.43</v>
      </c>
      <c r="E22" s="30">
        <v>203.45</v>
      </c>
      <c r="F22" s="31" t="s">
        <v>310</v>
      </c>
    </row>
    <row r="23" spans="1:6">
      <c r="A23" s="27" t="s">
        <v>75</v>
      </c>
      <c r="B23" s="28" t="s">
        <v>157</v>
      </c>
      <c r="C23" s="27" t="s">
        <v>66</v>
      </c>
      <c r="D23" s="29">
        <v>11.37</v>
      </c>
      <c r="E23" s="30">
        <v>221.65</v>
      </c>
      <c r="F23" s="31" t="s">
        <v>310</v>
      </c>
    </row>
    <row r="24" spans="1:6">
      <c r="A24" s="27" t="s">
        <v>210</v>
      </c>
      <c r="B24" s="28" t="s">
        <v>157</v>
      </c>
      <c r="C24" s="27" t="s">
        <v>66</v>
      </c>
      <c r="D24" s="27">
        <v>17.350000000000001</v>
      </c>
      <c r="E24" s="30">
        <v>338.33</v>
      </c>
      <c r="F24" s="31" t="s">
        <v>310</v>
      </c>
    </row>
    <row r="25" spans="1:6">
      <c r="A25" s="27" t="s">
        <v>74</v>
      </c>
      <c r="B25" s="28" t="s">
        <v>157</v>
      </c>
      <c r="C25" s="27" t="s">
        <v>66</v>
      </c>
      <c r="D25" s="27">
        <v>5.92</v>
      </c>
      <c r="E25" s="30">
        <v>118.93</v>
      </c>
      <c r="F25" s="31" t="s">
        <v>310</v>
      </c>
    </row>
    <row r="26" spans="1:6">
      <c r="A26" s="27" t="s">
        <v>89</v>
      </c>
      <c r="B26" s="28" t="s">
        <v>157</v>
      </c>
      <c r="C26" s="27" t="s">
        <v>66</v>
      </c>
      <c r="D26" s="27">
        <v>10.43</v>
      </c>
      <c r="E26" s="30">
        <v>203.45</v>
      </c>
      <c r="F26" s="31" t="s">
        <v>310</v>
      </c>
    </row>
    <row r="27" spans="1:6">
      <c r="A27" s="27" t="s">
        <v>84</v>
      </c>
      <c r="B27" s="28" t="s">
        <v>157</v>
      </c>
      <c r="C27" s="27" t="s">
        <v>66</v>
      </c>
      <c r="D27" s="27">
        <v>7.05</v>
      </c>
      <c r="E27" s="30">
        <v>137.47999999999999</v>
      </c>
      <c r="F27" s="31" t="s">
        <v>310</v>
      </c>
    </row>
    <row r="28" spans="1:6">
      <c r="A28" s="27" t="s">
        <v>292</v>
      </c>
      <c r="B28" s="28" t="s">
        <v>157</v>
      </c>
      <c r="C28" s="27" t="s">
        <v>66</v>
      </c>
      <c r="D28" s="27">
        <v>11.02</v>
      </c>
      <c r="E28" s="30">
        <v>214.83</v>
      </c>
      <c r="F28" s="31" t="s">
        <v>310</v>
      </c>
    </row>
    <row r="29" spans="1:6">
      <c r="A29" s="27" t="s">
        <v>255</v>
      </c>
      <c r="B29" s="28" t="s">
        <v>157</v>
      </c>
      <c r="C29" s="27" t="s">
        <v>66</v>
      </c>
      <c r="D29" s="27">
        <v>18.5</v>
      </c>
      <c r="E29" s="30">
        <v>360.75</v>
      </c>
      <c r="F29" s="31" t="s">
        <v>310</v>
      </c>
    </row>
    <row r="30" spans="1:6">
      <c r="A30" s="27" t="s">
        <v>159</v>
      </c>
      <c r="B30" s="28" t="s">
        <v>157</v>
      </c>
      <c r="C30" s="27" t="s">
        <v>66</v>
      </c>
      <c r="D30" s="27">
        <v>5.3</v>
      </c>
      <c r="E30" s="30">
        <v>103.35</v>
      </c>
      <c r="F30" s="31" t="s">
        <v>310</v>
      </c>
    </row>
    <row r="31" spans="1:6">
      <c r="A31" s="27" t="s">
        <v>88</v>
      </c>
      <c r="B31" s="28" t="s">
        <v>157</v>
      </c>
      <c r="C31" s="27" t="s">
        <v>66</v>
      </c>
      <c r="D31" s="27">
        <v>19.079999999999998</v>
      </c>
      <c r="E31" s="30">
        <v>372.13</v>
      </c>
      <c r="F31" s="31" t="s">
        <v>310</v>
      </c>
    </row>
    <row r="32" spans="1:6">
      <c r="A32" s="27" t="s">
        <v>35</v>
      </c>
      <c r="B32" s="28" t="s">
        <v>157</v>
      </c>
      <c r="C32" s="27" t="s">
        <v>66</v>
      </c>
      <c r="D32" s="27">
        <v>6.68</v>
      </c>
      <c r="E32" s="30">
        <v>150.38</v>
      </c>
      <c r="F32" s="31" t="s">
        <v>310</v>
      </c>
    </row>
    <row r="33" spans="1:6">
      <c r="A33" s="27" t="s">
        <v>251</v>
      </c>
      <c r="B33" s="28" t="s">
        <v>157</v>
      </c>
      <c r="C33" s="27" t="s">
        <v>66</v>
      </c>
      <c r="D33" s="27">
        <v>9.6300000000000008</v>
      </c>
      <c r="E33" s="30">
        <v>187.85</v>
      </c>
      <c r="F33" s="31" t="s">
        <v>310</v>
      </c>
    </row>
    <row r="34" spans="1:6">
      <c r="A34" s="20" t="s">
        <v>79</v>
      </c>
      <c r="B34" s="23" t="s">
        <v>157</v>
      </c>
      <c r="C34" s="20" t="s">
        <v>66</v>
      </c>
      <c r="D34" s="20">
        <v>1.02</v>
      </c>
      <c r="E34" s="22">
        <v>23.64</v>
      </c>
    </row>
    <row r="35" spans="1:6">
      <c r="A35" s="27" t="s">
        <v>161</v>
      </c>
      <c r="B35" s="28" t="s">
        <v>157</v>
      </c>
      <c r="C35" s="27" t="s">
        <v>66</v>
      </c>
      <c r="D35" s="27">
        <v>8.92</v>
      </c>
      <c r="E35" s="30">
        <v>173.88</v>
      </c>
      <c r="F35" s="31" t="s">
        <v>310</v>
      </c>
    </row>
    <row r="36" spans="1:6">
      <c r="A36" s="19" t="s">
        <v>7</v>
      </c>
      <c r="B36" s="20"/>
      <c r="C36" s="20"/>
      <c r="D36" s="26">
        <f>SUM(D20:D35)</f>
        <v>150.36999999999998</v>
      </c>
      <c r="E36" s="25">
        <f>SUM(E20:E35)</f>
        <v>2959.6000000000004</v>
      </c>
    </row>
    <row r="37" spans="1:6">
      <c r="A37" s="19"/>
      <c r="B37" s="20"/>
      <c r="C37" s="20"/>
      <c r="D37" s="26"/>
      <c r="E37" s="25"/>
    </row>
    <row r="38" spans="1:6">
      <c r="A38" s="27" t="s">
        <v>163</v>
      </c>
      <c r="B38" s="28" t="s">
        <v>162</v>
      </c>
      <c r="C38" s="27" t="s">
        <v>51</v>
      </c>
      <c r="D38" s="29">
        <v>44.27</v>
      </c>
      <c r="E38" s="30">
        <v>1062.4000000000001</v>
      </c>
      <c r="F38" s="31" t="s">
        <v>310</v>
      </c>
    </row>
    <row r="39" spans="1:6">
      <c r="A39" s="19" t="s">
        <v>7</v>
      </c>
      <c r="B39" s="20"/>
      <c r="C39" s="20"/>
      <c r="D39" s="26">
        <f>SUM(D38:D38)</f>
        <v>44.27</v>
      </c>
      <c r="E39" s="25">
        <f>SUM(E38:E38)</f>
        <v>1062.4000000000001</v>
      </c>
    </row>
    <row r="40" spans="1:6">
      <c r="A40" s="19"/>
      <c r="B40" s="20"/>
      <c r="C40" s="20"/>
      <c r="D40" s="26"/>
      <c r="E40" s="25"/>
    </row>
    <row r="41" spans="1:6">
      <c r="A41" s="20" t="s">
        <v>221</v>
      </c>
      <c r="B41" s="23" t="s">
        <v>165</v>
      </c>
      <c r="C41" s="20" t="s">
        <v>45</v>
      </c>
      <c r="D41" s="21">
        <v>0.25</v>
      </c>
      <c r="E41" s="22">
        <v>5.0599999999999996</v>
      </c>
    </row>
    <row r="42" spans="1:6">
      <c r="A42" s="19" t="s">
        <v>7</v>
      </c>
      <c r="B42" s="20"/>
      <c r="C42" s="20"/>
      <c r="D42" s="26">
        <v>0.25</v>
      </c>
      <c r="E42" s="25">
        <v>5.0599999999999996</v>
      </c>
    </row>
    <row r="43" spans="1:6">
      <c r="A43" s="19"/>
      <c r="B43" s="20"/>
      <c r="C43" s="20"/>
      <c r="D43" s="21"/>
      <c r="E43" s="22"/>
    </row>
    <row r="44" spans="1:6">
      <c r="A44" s="27" t="s">
        <v>166</v>
      </c>
      <c r="B44" s="28" t="s">
        <v>167</v>
      </c>
      <c r="C44" s="27" t="s">
        <v>54</v>
      </c>
      <c r="D44" s="29">
        <v>5.12</v>
      </c>
      <c r="E44" s="30">
        <v>115.13</v>
      </c>
      <c r="F44" s="31" t="s">
        <v>310</v>
      </c>
    </row>
    <row r="45" spans="1:6">
      <c r="A45" s="27" t="s">
        <v>253</v>
      </c>
      <c r="B45" s="28" t="s">
        <v>167</v>
      </c>
      <c r="C45" s="27" t="s">
        <v>54</v>
      </c>
      <c r="D45" s="29">
        <v>8.32</v>
      </c>
      <c r="E45" s="30">
        <v>174.65</v>
      </c>
      <c r="F45" s="31" t="s">
        <v>310</v>
      </c>
    </row>
    <row r="46" spans="1:6">
      <c r="A46" s="27" t="s">
        <v>270</v>
      </c>
      <c r="B46" s="28" t="s">
        <v>167</v>
      </c>
      <c r="C46" s="27" t="s">
        <v>54</v>
      </c>
      <c r="D46" s="29">
        <v>10.9</v>
      </c>
      <c r="E46" s="30">
        <v>294.3</v>
      </c>
      <c r="F46" s="31" t="s">
        <v>310</v>
      </c>
    </row>
    <row r="47" spans="1:6">
      <c r="A47" s="27" t="s">
        <v>311</v>
      </c>
      <c r="B47" s="28" t="s">
        <v>167</v>
      </c>
      <c r="C47" s="27" t="s">
        <v>54</v>
      </c>
      <c r="D47" s="29">
        <v>7.93</v>
      </c>
      <c r="E47" s="30">
        <v>172.55</v>
      </c>
      <c r="F47" s="31" t="s">
        <v>310</v>
      </c>
    </row>
    <row r="48" spans="1:6">
      <c r="A48" s="19" t="s">
        <v>7</v>
      </c>
      <c r="B48" s="23"/>
      <c r="C48" s="20"/>
      <c r="D48" s="26">
        <f>SUM(D44:D47)</f>
        <v>32.270000000000003</v>
      </c>
      <c r="E48" s="25">
        <f>SUM(E44:E47)</f>
        <v>756.62999999999988</v>
      </c>
    </row>
    <row r="49" spans="1:5">
      <c r="A49" s="20"/>
      <c r="B49" s="23"/>
      <c r="C49" s="20"/>
      <c r="D49" s="21"/>
      <c r="E49" s="22"/>
    </row>
    <row r="50" spans="1:5">
      <c r="A50" s="20" t="s">
        <v>42</v>
      </c>
      <c r="B50" s="23" t="s">
        <v>170</v>
      </c>
      <c r="C50" s="20" t="s">
        <v>43</v>
      </c>
      <c r="D50" s="21">
        <v>0.67</v>
      </c>
      <c r="E50" s="22">
        <v>19.75</v>
      </c>
    </row>
    <row r="51" spans="1:5">
      <c r="A51" s="19" t="s">
        <v>7</v>
      </c>
      <c r="B51" s="20"/>
      <c r="C51" s="20"/>
      <c r="D51" s="26">
        <v>0.67</v>
      </c>
      <c r="E51" s="25">
        <v>19.75</v>
      </c>
    </row>
    <row r="52" spans="1:5">
      <c r="A52" s="19"/>
      <c r="B52" s="20"/>
      <c r="C52" s="20"/>
      <c r="D52" s="21"/>
      <c r="E52" s="22"/>
    </row>
    <row r="53" spans="1:5">
      <c r="A53" s="20" t="s">
        <v>239</v>
      </c>
      <c r="B53" s="23" t="s">
        <v>240</v>
      </c>
      <c r="C53" s="20" t="s">
        <v>241</v>
      </c>
      <c r="D53" s="21">
        <v>0.2</v>
      </c>
      <c r="E53" s="22">
        <v>4.8</v>
      </c>
    </row>
    <row r="54" spans="1:5">
      <c r="A54" s="19" t="s">
        <v>7</v>
      </c>
      <c r="B54" s="20"/>
      <c r="C54" s="20"/>
      <c r="D54" s="26">
        <f>SUM(D53)</f>
        <v>0.2</v>
      </c>
      <c r="E54" s="25">
        <f>SUM(E53)</f>
        <v>4.8</v>
      </c>
    </row>
    <row r="55" spans="1:5">
      <c r="A55" s="20"/>
      <c r="B55" s="20"/>
      <c r="C55" s="20"/>
      <c r="D55" s="21"/>
      <c r="E55" s="22"/>
    </row>
    <row r="56" spans="1:5">
      <c r="A56" s="20" t="s">
        <v>312</v>
      </c>
      <c r="B56" s="23" t="s">
        <v>171</v>
      </c>
      <c r="C56" s="20" t="s">
        <v>25</v>
      </c>
      <c r="D56" s="21">
        <v>0.3</v>
      </c>
      <c r="E56" s="22">
        <v>7.65</v>
      </c>
    </row>
    <row r="57" spans="1:5">
      <c r="A57" s="20" t="s">
        <v>229</v>
      </c>
      <c r="B57" s="20" t="s">
        <v>171</v>
      </c>
      <c r="C57" s="20" t="s">
        <v>25</v>
      </c>
      <c r="D57" s="21">
        <v>0.03</v>
      </c>
      <c r="E57" s="22">
        <v>0.88</v>
      </c>
    </row>
    <row r="58" spans="1:5">
      <c r="A58" s="20" t="s">
        <v>306</v>
      </c>
      <c r="B58" s="23" t="s">
        <v>171</v>
      </c>
      <c r="C58" s="20" t="s">
        <v>25</v>
      </c>
      <c r="D58" s="21">
        <v>0.08</v>
      </c>
      <c r="E58" s="22">
        <v>2.19</v>
      </c>
    </row>
    <row r="59" spans="1:5">
      <c r="A59" s="20" t="s">
        <v>26</v>
      </c>
      <c r="B59" s="20" t="s">
        <v>171</v>
      </c>
      <c r="C59" s="20" t="s">
        <v>25</v>
      </c>
      <c r="D59" s="21">
        <v>0.43</v>
      </c>
      <c r="E59" s="22">
        <v>11.7</v>
      </c>
    </row>
    <row r="60" spans="1:5">
      <c r="A60" s="19" t="s">
        <v>7</v>
      </c>
      <c r="B60" s="20"/>
      <c r="C60" s="20"/>
      <c r="D60" s="26">
        <f>SUM(D56:D59)</f>
        <v>0.84</v>
      </c>
      <c r="E60" s="25">
        <f>SUM(E56:E59)</f>
        <v>22.42</v>
      </c>
    </row>
    <row r="61" spans="1:5">
      <c r="A61" s="20"/>
      <c r="B61" s="20"/>
      <c r="C61" s="20"/>
      <c r="D61" s="21"/>
      <c r="E61" s="22"/>
    </row>
    <row r="62" spans="1:5">
      <c r="A62" s="20" t="s">
        <v>13</v>
      </c>
      <c r="B62" s="20" t="s">
        <v>172</v>
      </c>
      <c r="C62" s="20" t="s">
        <v>12</v>
      </c>
      <c r="D62" s="21">
        <v>1.98</v>
      </c>
      <c r="E62" s="22">
        <v>73.66</v>
      </c>
    </row>
    <row r="63" spans="1:5">
      <c r="A63" s="19" t="s">
        <v>7</v>
      </c>
      <c r="B63" s="20"/>
      <c r="C63" s="20"/>
      <c r="D63" s="26">
        <f>SUM(D62:D62)</f>
        <v>1.98</v>
      </c>
      <c r="E63" s="25">
        <f>SUM(E62:E62)</f>
        <v>73.66</v>
      </c>
    </row>
    <row r="64" spans="1:5">
      <c r="A64" s="19"/>
      <c r="B64" s="20"/>
      <c r="C64" s="20"/>
      <c r="D64" s="21"/>
      <c r="E64" s="22"/>
    </row>
    <row r="65" spans="1:6">
      <c r="A65" s="20" t="s">
        <v>307</v>
      </c>
      <c r="B65" s="20">
        <v>100035</v>
      </c>
      <c r="C65" s="20" t="s">
        <v>23</v>
      </c>
      <c r="D65" s="21">
        <v>1.58</v>
      </c>
      <c r="E65" s="22">
        <v>57.66</v>
      </c>
    </row>
    <row r="66" spans="1:6">
      <c r="A66" s="19" t="s">
        <v>7</v>
      </c>
      <c r="B66" s="20"/>
      <c r="C66" s="20"/>
      <c r="D66" s="26">
        <f>SUM(D65:D65)</f>
        <v>1.58</v>
      </c>
      <c r="E66" s="25">
        <f>SUM(E65:E65)</f>
        <v>57.66</v>
      </c>
    </row>
    <row r="67" spans="1:6">
      <c r="A67" s="19"/>
      <c r="B67" s="20"/>
      <c r="C67" s="20"/>
      <c r="D67" s="21"/>
      <c r="E67" s="22"/>
    </row>
    <row r="68" spans="1:6">
      <c r="A68" s="27" t="s">
        <v>175</v>
      </c>
      <c r="B68" s="27">
        <v>100051</v>
      </c>
      <c r="C68" s="27" t="s">
        <v>34</v>
      </c>
      <c r="D68" s="29">
        <v>14.5</v>
      </c>
      <c r="E68" s="30">
        <v>261</v>
      </c>
      <c r="F68" s="31" t="s">
        <v>310</v>
      </c>
    </row>
    <row r="69" spans="1:6">
      <c r="A69" s="27" t="s">
        <v>36</v>
      </c>
      <c r="B69" s="27">
        <v>100051</v>
      </c>
      <c r="C69" s="27" t="s">
        <v>34</v>
      </c>
      <c r="D69" s="29">
        <v>57.72</v>
      </c>
      <c r="E69" s="30">
        <v>1212.05</v>
      </c>
      <c r="F69" s="31" t="s">
        <v>310</v>
      </c>
    </row>
    <row r="70" spans="1:6">
      <c r="A70" s="27" t="s">
        <v>37</v>
      </c>
      <c r="B70" s="27">
        <v>100051</v>
      </c>
      <c r="C70" s="27" t="s">
        <v>34</v>
      </c>
      <c r="D70" s="29">
        <v>30.47</v>
      </c>
      <c r="E70" s="30">
        <v>648.03</v>
      </c>
      <c r="F70" s="31" t="s">
        <v>310</v>
      </c>
    </row>
    <row r="71" spans="1:6">
      <c r="A71" s="27" t="s">
        <v>299</v>
      </c>
      <c r="B71" s="27">
        <v>100051</v>
      </c>
      <c r="C71" s="27" t="s">
        <v>34</v>
      </c>
      <c r="D71" s="29">
        <v>16.5</v>
      </c>
      <c r="E71" s="30">
        <v>297</v>
      </c>
      <c r="F71" s="31" t="s">
        <v>310</v>
      </c>
    </row>
    <row r="72" spans="1:6">
      <c r="A72" s="19" t="s">
        <v>7</v>
      </c>
      <c r="B72" s="20"/>
      <c r="C72" s="20"/>
      <c r="D72" s="26">
        <f>SUM(D68:D71)</f>
        <v>119.19</v>
      </c>
      <c r="E72" s="25">
        <f>SUM(E68:E71)</f>
        <v>2418.08</v>
      </c>
    </row>
    <row r="73" spans="1:6">
      <c r="A73" s="19"/>
      <c r="B73" s="20"/>
      <c r="C73" s="20"/>
      <c r="D73" s="26"/>
      <c r="E73" s="25"/>
    </row>
    <row r="74" spans="1:6">
      <c r="A74" s="20" t="s">
        <v>136</v>
      </c>
      <c r="B74" s="20">
        <v>250025</v>
      </c>
      <c r="C74" s="20" t="s">
        <v>302</v>
      </c>
      <c r="D74" s="21">
        <v>0.15</v>
      </c>
      <c r="E74" s="22">
        <v>4.4000000000000004</v>
      </c>
    </row>
    <row r="75" spans="1:6">
      <c r="A75" s="19" t="s">
        <v>7</v>
      </c>
      <c r="B75" s="20"/>
      <c r="C75" s="20"/>
      <c r="D75" s="26">
        <v>0.15</v>
      </c>
      <c r="E75" s="25">
        <v>4.4000000000000004</v>
      </c>
    </row>
    <row r="76" spans="1:6">
      <c r="A76" s="19"/>
      <c r="B76" s="20"/>
      <c r="C76" s="20"/>
      <c r="D76" s="26"/>
      <c r="E76" s="25"/>
    </row>
    <row r="77" spans="1:6">
      <c r="A77" s="47" t="s">
        <v>95</v>
      </c>
      <c r="B77" s="47" t="s">
        <v>180</v>
      </c>
      <c r="C77" s="47" t="s">
        <v>96</v>
      </c>
      <c r="D77" s="49">
        <v>10.68</v>
      </c>
      <c r="E77" s="50">
        <v>288.29000000000002</v>
      </c>
      <c r="F77" s="31" t="s">
        <v>313</v>
      </c>
    </row>
    <row r="78" spans="1:6">
      <c r="A78" s="19" t="s">
        <v>7</v>
      </c>
      <c r="B78" s="20"/>
      <c r="C78" s="20"/>
      <c r="D78" s="26">
        <f>SUM(D77)</f>
        <v>10.68</v>
      </c>
      <c r="E78" s="25">
        <f>SUM(E77)</f>
        <v>288.29000000000002</v>
      </c>
    </row>
    <row r="79" spans="1:6">
      <c r="A79" s="20"/>
      <c r="B79" s="20"/>
      <c r="C79" s="20"/>
      <c r="D79" s="21"/>
      <c r="E79" s="22"/>
    </row>
    <row r="80" spans="1:6">
      <c r="A80" s="20" t="s">
        <v>244</v>
      </c>
      <c r="B80" s="20">
        <v>400020</v>
      </c>
      <c r="C80" s="20" t="s">
        <v>98</v>
      </c>
      <c r="D80" s="21">
        <v>0.92</v>
      </c>
      <c r="E80" s="22">
        <v>22</v>
      </c>
    </row>
    <row r="81" spans="1:6">
      <c r="A81" s="20" t="s">
        <v>97</v>
      </c>
      <c r="B81" s="20" t="s">
        <v>181</v>
      </c>
      <c r="C81" s="20" t="s">
        <v>98</v>
      </c>
      <c r="D81" s="21">
        <v>0.32</v>
      </c>
      <c r="E81" s="22">
        <v>9.41</v>
      </c>
    </row>
    <row r="82" spans="1:6">
      <c r="A82" s="19" t="s">
        <v>7</v>
      </c>
      <c r="B82" s="20"/>
      <c r="C82" s="20"/>
      <c r="D82" s="26">
        <f>SUM(D80:D81)</f>
        <v>1.24</v>
      </c>
      <c r="E82" s="25">
        <f>SUM(E80:E81)</f>
        <v>31.41</v>
      </c>
    </row>
    <row r="83" spans="1:6">
      <c r="A83" s="20"/>
      <c r="B83" s="20"/>
      <c r="C83" s="20"/>
      <c r="D83" s="21"/>
      <c r="E83" s="22"/>
    </row>
    <row r="84" spans="1:6">
      <c r="A84" s="20" t="s">
        <v>100</v>
      </c>
      <c r="B84" s="20" t="s">
        <v>182</v>
      </c>
      <c r="C84" s="20" t="s">
        <v>101</v>
      </c>
      <c r="D84" s="21">
        <v>0.78</v>
      </c>
      <c r="E84" s="22">
        <v>22.71</v>
      </c>
    </row>
    <row r="85" spans="1:6">
      <c r="A85" s="19" t="s">
        <v>7</v>
      </c>
      <c r="B85" s="20"/>
      <c r="C85" s="20"/>
      <c r="D85" s="26">
        <f>SUM(D84)</f>
        <v>0.78</v>
      </c>
      <c r="E85" s="25">
        <f>SUM(E84)</f>
        <v>22.71</v>
      </c>
    </row>
    <row r="86" spans="1:6">
      <c r="A86" s="19"/>
      <c r="B86" s="20"/>
      <c r="C86" s="20"/>
      <c r="D86" s="26"/>
      <c r="E86" s="25"/>
    </row>
    <row r="87" spans="1:6">
      <c r="A87" s="20" t="s">
        <v>207</v>
      </c>
      <c r="B87" s="20">
        <v>450042</v>
      </c>
      <c r="C87" s="20" t="s">
        <v>314</v>
      </c>
      <c r="D87" s="21">
        <v>2.5</v>
      </c>
      <c r="E87" s="22">
        <v>56.25</v>
      </c>
    </row>
    <row r="88" spans="1:6">
      <c r="A88" s="19" t="s">
        <v>7</v>
      </c>
      <c r="B88" s="20"/>
      <c r="C88" s="20"/>
      <c r="D88" s="26">
        <v>2.5</v>
      </c>
      <c r="E88" s="25">
        <v>56.25</v>
      </c>
    </row>
    <row r="89" spans="1:6">
      <c r="A89" s="19"/>
      <c r="B89" s="20"/>
      <c r="C89" s="20"/>
      <c r="D89" s="26"/>
      <c r="E89" s="25"/>
    </row>
    <row r="90" spans="1:6">
      <c r="A90" s="32" t="s">
        <v>282</v>
      </c>
      <c r="B90" s="32">
        <v>450049</v>
      </c>
      <c r="C90" s="32" t="s">
        <v>315</v>
      </c>
      <c r="D90" s="33">
        <v>15.5</v>
      </c>
      <c r="E90" s="34">
        <v>374.09</v>
      </c>
      <c r="F90" s="31" t="s">
        <v>316</v>
      </c>
    </row>
    <row r="91" spans="1:6">
      <c r="A91" s="19" t="s">
        <v>7</v>
      </c>
      <c r="B91" s="20"/>
      <c r="C91" s="20"/>
      <c r="D91" s="26">
        <v>15.5</v>
      </c>
      <c r="E91" s="25">
        <v>374.09</v>
      </c>
    </row>
    <row r="92" spans="1:6">
      <c r="A92" s="19"/>
      <c r="B92" s="20"/>
      <c r="C92" s="20"/>
      <c r="D92" s="26"/>
      <c r="E92" s="25"/>
    </row>
    <row r="93" spans="1:6">
      <c r="A93" s="20" t="s">
        <v>123</v>
      </c>
      <c r="B93" s="20">
        <v>450051</v>
      </c>
      <c r="C93" s="20" t="s">
        <v>279</v>
      </c>
      <c r="D93" s="21">
        <v>3</v>
      </c>
      <c r="E93" s="22">
        <v>50.63</v>
      </c>
    </row>
    <row r="94" spans="1:6">
      <c r="A94" s="19" t="s">
        <v>7</v>
      </c>
      <c r="B94" s="20"/>
      <c r="C94" s="20"/>
      <c r="D94" s="26">
        <f>SUM(D93:D93)</f>
        <v>3</v>
      </c>
      <c r="E94" s="25">
        <f>SUM(E93:E93)</f>
        <v>50.63</v>
      </c>
    </row>
    <row r="95" spans="1:6">
      <c r="A95" s="19"/>
      <c r="B95" s="20"/>
      <c r="C95" s="20"/>
      <c r="D95" s="21"/>
      <c r="E95" s="22"/>
    </row>
    <row r="96" spans="1:6">
      <c r="A96" s="19" t="s">
        <v>194</v>
      </c>
      <c r="B96" s="20"/>
      <c r="C96" s="20"/>
      <c r="D96" s="26">
        <f>D94+D91+D88+D85+D82+D78+D75+D72+D66+D63+D60+D54+D51+D48+D42+D39+D36+D18+D14+D10+D6</f>
        <v>393.14</v>
      </c>
      <c r="E96" s="25">
        <f>E94+E91+E88+E85+E82+E78+E75+E72+E66+E63+E60+E54+E51+E48+E42+E39+E36+E18+E14+E10+E6</f>
        <v>8425.9900000000016</v>
      </c>
    </row>
    <row r="97" spans="1:5">
      <c r="A97" s="20"/>
      <c r="B97" s="20"/>
      <c r="C97" s="20"/>
      <c r="D97" s="26"/>
      <c r="E97" s="25"/>
    </row>
    <row r="98" spans="1:5">
      <c r="A98" s="20"/>
      <c r="B98" s="20"/>
      <c r="C98" s="20"/>
      <c r="D98" s="20"/>
      <c r="E98" s="20"/>
    </row>
    <row r="99" spans="1:5">
      <c r="A99" s="20"/>
      <c r="B99" s="20"/>
      <c r="C99" s="20"/>
      <c r="D99" s="20"/>
      <c r="E99" s="20"/>
    </row>
    <row r="100" spans="1:5">
      <c r="A100" s="20"/>
      <c r="B100" s="20"/>
      <c r="C100" s="20"/>
      <c r="D100" s="20"/>
      <c r="E100" s="20"/>
    </row>
    <row r="101" spans="1:5">
      <c r="A101" s="20"/>
      <c r="B101" s="20"/>
      <c r="C101" s="20"/>
      <c r="D101" s="20"/>
      <c r="E101" s="20"/>
    </row>
    <row r="102" spans="1:5">
      <c r="A102" s="20"/>
      <c r="B102" s="20"/>
      <c r="C102" s="20"/>
      <c r="D102" s="20"/>
      <c r="E102" s="20"/>
    </row>
    <row r="103" spans="1:5">
      <c r="A103" s="20"/>
      <c r="B103" s="20"/>
      <c r="C103" s="20"/>
      <c r="D103" s="20"/>
      <c r="E103" s="20"/>
    </row>
    <row r="104" spans="1:5">
      <c r="A104" s="20"/>
      <c r="B104" s="20"/>
      <c r="C104" s="20"/>
      <c r="D104" s="20"/>
      <c r="E104" s="20"/>
    </row>
    <row r="105" spans="1:5">
      <c r="A105" s="20"/>
      <c r="B105" s="20"/>
      <c r="C105" s="20"/>
      <c r="D105" s="20"/>
      <c r="E105" s="20"/>
    </row>
    <row r="106" spans="1:5">
      <c r="A106" s="20"/>
      <c r="B106" s="20"/>
      <c r="C106" s="20"/>
      <c r="D106" s="20"/>
      <c r="E106" s="20"/>
    </row>
    <row r="107" spans="1:5">
      <c r="A107" s="20"/>
      <c r="B107" s="20"/>
      <c r="C107" s="20"/>
      <c r="D107" s="20"/>
      <c r="E107" s="20"/>
    </row>
    <row r="108" spans="1:5">
      <c r="A108" s="20"/>
      <c r="B108" s="20"/>
      <c r="C108" s="20"/>
      <c r="D108" s="20"/>
      <c r="E108" s="20"/>
    </row>
    <row r="109" spans="1:5">
      <c r="A109" s="20"/>
      <c r="B109" s="20"/>
      <c r="C109" s="20"/>
      <c r="D109" s="20"/>
      <c r="E109" s="20"/>
    </row>
    <row r="110" spans="1:5">
      <c r="A110" s="20"/>
      <c r="B110" s="20"/>
      <c r="C110" s="20"/>
      <c r="D110" s="20"/>
      <c r="E110" s="20"/>
    </row>
    <row r="111" spans="1:5">
      <c r="A111" s="20"/>
      <c r="B111" s="20"/>
      <c r="C111" s="20"/>
      <c r="D111" s="20"/>
      <c r="E111" s="20"/>
    </row>
    <row r="112" spans="1:5">
      <c r="A112" s="20"/>
      <c r="B112" s="20"/>
      <c r="C112" s="20"/>
      <c r="D112" s="20"/>
      <c r="E112" s="20"/>
    </row>
    <row r="113" spans="1:5">
      <c r="A113" s="20"/>
      <c r="B113" s="20"/>
      <c r="C113" s="20"/>
      <c r="D113" s="20"/>
      <c r="E113" s="20"/>
    </row>
    <row r="114" spans="1:5">
      <c r="A114" s="20"/>
      <c r="B114" s="20"/>
      <c r="C114" s="20"/>
      <c r="D114" s="20"/>
      <c r="E114" s="20"/>
    </row>
    <row r="115" spans="1:5">
      <c r="A115" s="20"/>
      <c r="B115" s="20"/>
      <c r="C115" s="20"/>
      <c r="D115" s="20"/>
      <c r="E115" s="20"/>
    </row>
    <row r="116" spans="1:5">
      <c r="A116" s="20"/>
      <c r="B116" s="20"/>
      <c r="C116" s="20"/>
      <c r="D116" s="20"/>
      <c r="E116" s="20"/>
    </row>
    <row r="117" spans="1:5">
      <c r="A117" s="20"/>
      <c r="B117" s="20"/>
      <c r="C117" s="20"/>
      <c r="D117" s="20"/>
      <c r="E117" s="20"/>
    </row>
    <row r="118" spans="1:5">
      <c r="A118" s="20"/>
      <c r="B118" s="20"/>
      <c r="C118" s="20"/>
      <c r="D118" s="20"/>
      <c r="E118" s="20"/>
    </row>
    <row r="119" spans="1:5">
      <c r="A119" s="20"/>
      <c r="B119" s="20"/>
      <c r="C119" s="20"/>
      <c r="D119" s="20"/>
      <c r="E119" s="20"/>
    </row>
    <row r="120" spans="1:5">
      <c r="A120" s="20"/>
      <c r="B120" s="20"/>
      <c r="C120" s="20"/>
      <c r="D120" s="20"/>
      <c r="E120" s="20"/>
    </row>
    <row r="121" spans="1:5">
      <c r="A121" s="20"/>
      <c r="B121" s="20"/>
      <c r="C121" s="20"/>
      <c r="D121" s="20"/>
      <c r="E121" s="20"/>
    </row>
    <row r="122" spans="1:5">
      <c r="A122" s="20"/>
      <c r="B122" s="20"/>
      <c r="C122" s="20"/>
      <c r="D122" s="20"/>
      <c r="E122" s="20"/>
    </row>
    <row r="123" spans="1:5">
      <c r="A123" s="20"/>
      <c r="B123" s="20"/>
      <c r="C123" s="20"/>
      <c r="D123" s="20"/>
      <c r="E123" s="20"/>
    </row>
    <row r="124" spans="1:5">
      <c r="A124" s="20"/>
      <c r="B124" s="20"/>
      <c r="C124" s="20"/>
      <c r="D124" s="20"/>
      <c r="E124" s="20"/>
    </row>
    <row r="125" spans="1:5">
      <c r="A125" s="20"/>
      <c r="B125" s="20"/>
      <c r="C125" s="20"/>
      <c r="D125" s="20"/>
      <c r="E125" s="20"/>
    </row>
    <row r="126" spans="1:5">
      <c r="A126" s="20"/>
      <c r="B126" s="20"/>
      <c r="C126" s="20"/>
      <c r="D126" s="20"/>
      <c r="E126" s="20"/>
    </row>
    <row r="127" spans="1:5">
      <c r="A127" s="20"/>
      <c r="B127" s="20"/>
      <c r="C127" s="20"/>
      <c r="D127" s="20"/>
      <c r="E127" s="20"/>
    </row>
  </sheetData>
  <mergeCells count="1">
    <mergeCell ref="G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16"/>
  <sheetViews>
    <sheetView topLeftCell="G1" workbookViewId="0">
      <selection activeCell="G1" sqref="G1:J5"/>
    </sheetView>
  </sheetViews>
  <sheetFormatPr defaultRowHeight="12.75"/>
  <cols>
    <col min="1" max="1" width="31.7109375" style="20" customWidth="1"/>
    <col min="2" max="2" width="22.7109375" style="20" customWidth="1"/>
    <col min="3" max="3" width="36.7109375" style="20" customWidth="1"/>
    <col min="4" max="4" width="22.7109375" style="20" customWidth="1"/>
    <col min="5" max="5" width="25.7109375" style="20" customWidth="1"/>
    <col min="6" max="6" width="64.85546875" bestFit="1" customWidth="1"/>
    <col min="7" max="7" width="15.5703125" customWidth="1"/>
    <col min="8" max="8" width="15" customWidth="1"/>
    <col min="9" max="9" width="14" customWidth="1"/>
    <col min="10" max="10" width="14.28515625" customWidth="1"/>
    <col min="11" max="11" width="12" customWidth="1"/>
  </cols>
  <sheetData>
    <row r="1" spans="1:11">
      <c r="A1" s="19" t="s">
        <v>147</v>
      </c>
      <c r="B1" s="19" t="s">
        <v>148</v>
      </c>
      <c r="C1" s="19" t="s">
        <v>149</v>
      </c>
      <c r="D1" s="19" t="s">
        <v>150</v>
      </c>
      <c r="E1" s="19" t="s">
        <v>151</v>
      </c>
      <c r="F1" s="19" t="s">
        <v>258</v>
      </c>
      <c r="G1" s="38" t="s">
        <v>259</v>
      </c>
      <c r="H1" s="41" t="s">
        <v>12</v>
      </c>
      <c r="I1" s="39" t="s">
        <v>261</v>
      </c>
      <c r="J1" s="42" t="s">
        <v>262</v>
      </c>
    </row>
    <row r="2" spans="1:11">
      <c r="A2" s="20" t="s">
        <v>20</v>
      </c>
      <c r="B2" s="20" t="s">
        <v>152</v>
      </c>
      <c r="C2" s="20" t="s">
        <v>15</v>
      </c>
      <c r="D2" s="21">
        <v>0.85</v>
      </c>
      <c r="E2" s="22">
        <v>22.33</v>
      </c>
      <c r="G2" s="13">
        <f>E15+E24+E26+E27+E28+E29+E30+E31+E32+E33+E34+E35+E38+E39+E41+E42+E43+E44+E47+E48+E49+E53+E56+E59+E60+E78+E79+E89+E90+E91+E92</f>
        <v>8652.6700000000019</v>
      </c>
      <c r="H2" s="15">
        <f>E72</f>
        <v>235.84</v>
      </c>
      <c r="I2" s="16">
        <f>E108+E111</f>
        <v>375.52</v>
      </c>
      <c r="J2" s="43">
        <f>E68</f>
        <v>122.94</v>
      </c>
    </row>
    <row r="3" spans="1:11">
      <c r="A3" s="20" t="s">
        <v>18</v>
      </c>
      <c r="B3" s="20" t="s">
        <v>152</v>
      </c>
      <c r="C3" s="20" t="s">
        <v>15</v>
      </c>
      <c r="D3" s="21">
        <v>1.75</v>
      </c>
      <c r="E3" s="22">
        <v>48.72</v>
      </c>
    </row>
    <row r="4" spans="1:11">
      <c r="A4" s="20" t="s">
        <v>19</v>
      </c>
      <c r="B4" s="23" t="s">
        <v>152</v>
      </c>
      <c r="C4" s="20" t="s">
        <v>15</v>
      </c>
      <c r="D4" s="21">
        <v>0.1</v>
      </c>
      <c r="E4" s="22">
        <v>2.99</v>
      </c>
      <c r="G4" s="305" t="s">
        <v>263</v>
      </c>
      <c r="H4" s="306"/>
      <c r="I4" s="306"/>
      <c r="J4" s="306"/>
      <c r="K4" s="11"/>
    </row>
    <row r="5" spans="1:11">
      <c r="A5" s="19" t="s">
        <v>7</v>
      </c>
      <c r="D5" s="24">
        <f>SUM(D2:D4)</f>
        <v>2.7</v>
      </c>
      <c r="E5" s="25">
        <f>SUM(E2:E4)</f>
        <v>74.039999999999992</v>
      </c>
    </row>
    <row r="6" spans="1:11">
      <c r="A6" s="19"/>
      <c r="D6" s="24"/>
      <c r="E6" s="25"/>
    </row>
    <row r="7" spans="1:11">
      <c r="A7" s="20" t="s">
        <v>309</v>
      </c>
      <c r="B7" s="23" t="s">
        <v>217</v>
      </c>
      <c r="C7" s="20" t="s">
        <v>218</v>
      </c>
      <c r="D7" s="55">
        <v>1.22</v>
      </c>
      <c r="E7" s="22">
        <v>29.66</v>
      </c>
    </row>
    <row r="8" spans="1:11">
      <c r="A8" s="19" t="s">
        <v>7</v>
      </c>
      <c r="D8" s="24">
        <f>SUM(D7:D7)</f>
        <v>1.22</v>
      </c>
      <c r="E8" s="25">
        <f>SUM(E7:E7)</f>
        <v>29.66</v>
      </c>
    </row>
    <row r="9" spans="1:11">
      <c r="A9" s="19"/>
      <c r="D9" s="26"/>
      <c r="E9" s="25"/>
    </row>
    <row r="10" spans="1:11">
      <c r="A10" s="20" t="s">
        <v>30</v>
      </c>
      <c r="B10" s="20" t="s">
        <v>155</v>
      </c>
      <c r="C10" s="20" t="s">
        <v>31</v>
      </c>
      <c r="D10" s="21">
        <v>0.52</v>
      </c>
      <c r="E10" s="22">
        <v>13.57</v>
      </c>
    </row>
    <row r="11" spans="1:11">
      <c r="A11" s="20" t="s">
        <v>195</v>
      </c>
      <c r="B11" s="23" t="s">
        <v>155</v>
      </c>
      <c r="C11" s="20" t="s">
        <v>196</v>
      </c>
      <c r="D11" s="21">
        <v>1.03</v>
      </c>
      <c r="E11" s="22">
        <v>31</v>
      </c>
    </row>
    <row r="12" spans="1:11">
      <c r="A12" s="19" t="s">
        <v>7</v>
      </c>
      <c r="D12" s="26">
        <f>SUM(D10:D11)</f>
        <v>1.55</v>
      </c>
      <c r="E12" s="25">
        <f>SUM(E10:E11)</f>
        <v>44.57</v>
      </c>
    </row>
    <row r="13" spans="1:11">
      <c r="A13" s="19"/>
      <c r="D13" s="26"/>
      <c r="E13" s="25"/>
    </row>
    <row r="14" spans="1:11">
      <c r="A14" s="20" t="s">
        <v>317</v>
      </c>
      <c r="B14" s="23" t="s">
        <v>198</v>
      </c>
      <c r="C14" s="20" t="s">
        <v>199</v>
      </c>
      <c r="D14" s="21">
        <v>0.97</v>
      </c>
      <c r="E14" s="22">
        <v>23.93</v>
      </c>
    </row>
    <row r="15" spans="1:11">
      <c r="A15" s="27" t="s">
        <v>160</v>
      </c>
      <c r="B15" s="28" t="s">
        <v>198</v>
      </c>
      <c r="C15" s="27" t="s">
        <v>199</v>
      </c>
      <c r="D15" s="29">
        <v>11.57</v>
      </c>
      <c r="E15" s="30">
        <v>260.25</v>
      </c>
      <c r="F15" t="s">
        <v>318</v>
      </c>
    </row>
    <row r="16" spans="1:11">
      <c r="A16" s="19" t="s">
        <v>7</v>
      </c>
      <c r="D16" s="26">
        <f>SUM(D14:D15)</f>
        <v>12.540000000000001</v>
      </c>
      <c r="E16" s="25">
        <f>SUM(E14:E15)</f>
        <v>284.18</v>
      </c>
    </row>
    <row r="17" spans="1:6">
      <c r="A17" s="19"/>
      <c r="D17" s="26"/>
      <c r="E17" s="25"/>
    </row>
    <row r="18" spans="1:6">
      <c r="A18" s="20" t="s">
        <v>14</v>
      </c>
      <c r="B18" s="23" t="s">
        <v>156</v>
      </c>
      <c r="C18" s="20" t="s">
        <v>91</v>
      </c>
      <c r="D18" s="21">
        <v>1.4</v>
      </c>
      <c r="E18" s="22">
        <v>35.700000000000003</v>
      </c>
    </row>
    <row r="19" spans="1:6">
      <c r="A19" s="20" t="s">
        <v>92</v>
      </c>
      <c r="B19" s="23" t="s">
        <v>156</v>
      </c>
      <c r="C19" s="20" t="s">
        <v>91</v>
      </c>
      <c r="D19" s="21">
        <v>1.1200000000000001</v>
      </c>
      <c r="E19" s="22">
        <v>29.55</v>
      </c>
    </row>
    <row r="20" spans="1:6">
      <c r="A20" s="19" t="s">
        <v>7</v>
      </c>
      <c r="D20" s="26">
        <f>SUM(D18:D19)</f>
        <v>2.52</v>
      </c>
      <c r="E20" s="25">
        <f>SUM(E18:E19)</f>
        <v>65.25</v>
      </c>
    </row>
    <row r="21" spans="1:6">
      <c r="D21" s="21"/>
      <c r="E21" s="22"/>
    </row>
    <row r="22" spans="1:6">
      <c r="A22" s="20" t="s">
        <v>319</v>
      </c>
      <c r="B22" s="23" t="s">
        <v>157</v>
      </c>
      <c r="C22" s="20" t="s">
        <v>66</v>
      </c>
      <c r="D22" s="21">
        <v>2.68</v>
      </c>
      <c r="E22" s="22">
        <v>50.31</v>
      </c>
    </row>
    <row r="23" spans="1:6">
      <c r="A23" s="20" t="s">
        <v>266</v>
      </c>
      <c r="B23" s="23" t="s">
        <v>157</v>
      </c>
      <c r="C23" s="20" t="s">
        <v>66</v>
      </c>
      <c r="D23" s="21">
        <v>0.05</v>
      </c>
      <c r="E23" s="22">
        <v>0.98</v>
      </c>
    </row>
    <row r="24" spans="1:6">
      <c r="A24" s="27" t="s">
        <v>290</v>
      </c>
      <c r="B24" s="28" t="s">
        <v>157</v>
      </c>
      <c r="C24" s="27" t="s">
        <v>66</v>
      </c>
      <c r="D24" s="29">
        <v>12.02</v>
      </c>
      <c r="E24" s="30">
        <v>234.33</v>
      </c>
      <c r="F24" t="s">
        <v>318</v>
      </c>
    </row>
    <row r="25" spans="1:6">
      <c r="A25" s="20" t="s">
        <v>320</v>
      </c>
      <c r="B25" s="23" t="s">
        <v>157</v>
      </c>
      <c r="C25" s="20" t="s">
        <v>66</v>
      </c>
      <c r="D25" s="21">
        <v>2.08</v>
      </c>
      <c r="E25" s="22">
        <v>39.06</v>
      </c>
    </row>
    <row r="26" spans="1:6">
      <c r="A26" s="27" t="s">
        <v>321</v>
      </c>
      <c r="B26" s="28" t="s">
        <v>157</v>
      </c>
      <c r="C26" s="27" t="s">
        <v>66</v>
      </c>
      <c r="D26" s="29">
        <v>13.83</v>
      </c>
      <c r="E26" s="30">
        <v>269.75</v>
      </c>
      <c r="F26" t="s">
        <v>318</v>
      </c>
    </row>
    <row r="27" spans="1:6">
      <c r="A27" s="27" t="s">
        <v>175</v>
      </c>
      <c r="B27" s="28" t="s">
        <v>157</v>
      </c>
      <c r="C27" s="27" t="s">
        <v>66</v>
      </c>
      <c r="D27" s="29">
        <v>18.600000000000001</v>
      </c>
      <c r="E27" s="30">
        <f>190.8+144</f>
        <v>334.8</v>
      </c>
      <c r="F27" t="s">
        <v>318</v>
      </c>
    </row>
    <row r="28" spans="1:6">
      <c r="A28" s="27" t="s">
        <v>228</v>
      </c>
      <c r="B28" s="28" t="s">
        <v>157</v>
      </c>
      <c r="C28" s="27" t="s">
        <v>66</v>
      </c>
      <c r="D28" s="29">
        <v>24.67</v>
      </c>
      <c r="E28" s="30">
        <v>481</v>
      </c>
      <c r="F28" t="s">
        <v>318</v>
      </c>
    </row>
    <row r="29" spans="1:6">
      <c r="A29" s="27" t="s">
        <v>158</v>
      </c>
      <c r="B29" s="28" t="s">
        <v>157</v>
      </c>
      <c r="C29" s="27" t="s">
        <v>66</v>
      </c>
      <c r="D29" s="29">
        <v>7.97</v>
      </c>
      <c r="E29" s="30">
        <v>143.4</v>
      </c>
      <c r="F29" t="s">
        <v>318</v>
      </c>
    </row>
    <row r="30" spans="1:6">
      <c r="A30" s="27" t="s">
        <v>75</v>
      </c>
      <c r="B30" s="28" t="s">
        <v>157</v>
      </c>
      <c r="C30" s="27" t="s">
        <v>66</v>
      </c>
      <c r="D30" s="29">
        <v>6.2</v>
      </c>
      <c r="E30" s="30">
        <v>120.9</v>
      </c>
      <c r="F30" t="s">
        <v>318</v>
      </c>
    </row>
    <row r="31" spans="1:6">
      <c r="A31" s="27" t="s">
        <v>210</v>
      </c>
      <c r="B31" s="28" t="s">
        <v>157</v>
      </c>
      <c r="C31" s="27" t="s">
        <v>66</v>
      </c>
      <c r="D31" s="27">
        <v>15.9</v>
      </c>
      <c r="E31" s="30">
        <v>310.05</v>
      </c>
      <c r="F31" t="s">
        <v>318</v>
      </c>
    </row>
    <row r="32" spans="1:6">
      <c r="A32" s="27" t="s">
        <v>74</v>
      </c>
      <c r="B32" s="28" t="s">
        <v>157</v>
      </c>
      <c r="C32" s="27" t="s">
        <v>66</v>
      </c>
      <c r="D32" s="27">
        <v>10.97</v>
      </c>
      <c r="E32" s="30">
        <v>220.43</v>
      </c>
      <c r="F32" t="s">
        <v>318</v>
      </c>
    </row>
    <row r="33" spans="1:6">
      <c r="A33" s="27" t="s">
        <v>267</v>
      </c>
      <c r="B33" s="28" t="s">
        <v>157</v>
      </c>
      <c r="C33" s="27" t="s">
        <v>66</v>
      </c>
      <c r="D33" s="27">
        <v>9.77</v>
      </c>
      <c r="E33" s="30">
        <f>168.75+51</f>
        <v>219.75</v>
      </c>
      <c r="F33" t="s">
        <v>318</v>
      </c>
    </row>
    <row r="34" spans="1:6">
      <c r="A34" s="27" t="s">
        <v>89</v>
      </c>
      <c r="B34" s="28" t="s">
        <v>157</v>
      </c>
      <c r="C34" s="27" t="s">
        <v>66</v>
      </c>
      <c r="D34" s="27">
        <v>10.9</v>
      </c>
      <c r="E34" s="30">
        <v>212.55</v>
      </c>
      <c r="F34" t="s">
        <v>318</v>
      </c>
    </row>
    <row r="35" spans="1:6">
      <c r="A35" s="27" t="s">
        <v>237</v>
      </c>
      <c r="B35" s="28" t="s">
        <v>157</v>
      </c>
      <c r="C35" s="27" t="s">
        <v>66</v>
      </c>
      <c r="D35" s="27">
        <v>14.87</v>
      </c>
      <c r="E35" s="30">
        <v>289.89999999999998</v>
      </c>
      <c r="F35" t="s">
        <v>318</v>
      </c>
    </row>
    <row r="36" spans="1:6">
      <c r="A36" s="20" t="s">
        <v>86</v>
      </c>
      <c r="B36" s="23" t="s">
        <v>157</v>
      </c>
      <c r="C36" s="20" t="s">
        <v>66</v>
      </c>
      <c r="D36" s="20">
        <v>3.23</v>
      </c>
      <c r="E36" s="22">
        <v>70.33</v>
      </c>
    </row>
    <row r="37" spans="1:6">
      <c r="A37" s="20" t="s">
        <v>84</v>
      </c>
      <c r="B37" s="23" t="s">
        <v>157</v>
      </c>
      <c r="C37" s="20" t="s">
        <v>66</v>
      </c>
      <c r="D37" s="20">
        <v>2.92</v>
      </c>
      <c r="E37" s="22">
        <v>56.88</v>
      </c>
    </row>
    <row r="38" spans="1:6">
      <c r="A38" s="27" t="s">
        <v>292</v>
      </c>
      <c r="B38" s="28" t="s">
        <v>157</v>
      </c>
      <c r="C38" s="27" t="s">
        <v>66</v>
      </c>
      <c r="D38" s="27">
        <v>15.23</v>
      </c>
      <c r="E38" s="30">
        <v>297.05</v>
      </c>
      <c r="F38" t="s">
        <v>318</v>
      </c>
    </row>
    <row r="39" spans="1:6">
      <c r="A39" s="27" t="s">
        <v>299</v>
      </c>
      <c r="B39" s="28" t="s">
        <v>157</v>
      </c>
      <c r="C39" s="27" t="s">
        <v>66</v>
      </c>
      <c r="D39" s="27">
        <v>17.149999999999999</v>
      </c>
      <c r="E39" s="30">
        <f>172.8+135.9</f>
        <v>308.70000000000005</v>
      </c>
      <c r="F39" t="s">
        <v>318</v>
      </c>
    </row>
    <row r="40" spans="1:6">
      <c r="A40" s="20" t="s">
        <v>85</v>
      </c>
      <c r="B40" s="23" t="s">
        <v>157</v>
      </c>
      <c r="C40" s="20" t="s">
        <v>66</v>
      </c>
      <c r="D40" s="20">
        <v>1.95</v>
      </c>
      <c r="E40" s="22">
        <v>46.68</v>
      </c>
    </row>
    <row r="41" spans="1:6">
      <c r="A41" s="27" t="s">
        <v>159</v>
      </c>
      <c r="B41" s="28" t="s">
        <v>157</v>
      </c>
      <c r="C41" s="27" t="s">
        <v>66</v>
      </c>
      <c r="D41" s="27">
        <v>10.98</v>
      </c>
      <c r="E41" s="30">
        <v>214.18</v>
      </c>
      <c r="F41" t="s">
        <v>318</v>
      </c>
    </row>
    <row r="42" spans="1:6">
      <c r="A42" s="27" t="s">
        <v>88</v>
      </c>
      <c r="B42" s="28" t="s">
        <v>157</v>
      </c>
      <c r="C42" s="27" t="s">
        <v>66</v>
      </c>
      <c r="D42" s="27">
        <v>7</v>
      </c>
      <c r="E42" s="30">
        <v>136.5</v>
      </c>
      <c r="F42" t="s">
        <v>318</v>
      </c>
    </row>
    <row r="43" spans="1:6">
      <c r="A43" s="27" t="s">
        <v>79</v>
      </c>
      <c r="B43" s="28" t="s">
        <v>157</v>
      </c>
      <c r="C43" s="27" t="s">
        <v>66</v>
      </c>
      <c r="D43" s="27">
        <v>14.65</v>
      </c>
      <c r="E43" s="30">
        <v>340.61</v>
      </c>
      <c r="F43" t="s">
        <v>318</v>
      </c>
    </row>
    <row r="44" spans="1:6">
      <c r="A44" s="27" t="s">
        <v>161</v>
      </c>
      <c r="B44" s="28" t="s">
        <v>157</v>
      </c>
      <c r="C44" s="27" t="s">
        <v>66</v>
      </c>
      <c r="D44" s="27">
        <v>15.07</v>
      </c>
      <c r="E44" s="30">
        <v>293.8</v>
      </c>
      <c r="F44" t="s">
        <v>318</v>
      </c>
    </row>
    <row r="45" spans="1:6">
      <c r="A45" s="19" t="s">
        <v>7</v>
      </c>
      <c r="D45" s="26">
        <f>SUM(D22:D44)</f>
        <v>238.68999999999997</v>
      </c>
      <c r="E45" s="25">
        <f>SUM(E22:E44)</f>
        <v>4691.9400000000005</v>
      </c>
    </row>
    <row r="46" spans="1:6">
      <c r="A46" s="19"/>
      <c r="D46" s="26"/>
      <c r="E46" s="25"/>
    </row>
    <row r="47" spans="1:6">
      <c r="A47" s="27" t="s">
        <v>73</v>
      </c>
      <c r="B47" s="28" t="s">
        <v>162</v>
      </c>
      <c r="C47" s="27" t="s">
        <v>51</v>
      </c>
      <c r="D47" s="29">
        <v>12.05</v>
      </c>
      <c r="E47" s="30">
        <v>216.9</v>
      </c>
      <c r="F47" t="s">
        <v>318</v>
      </c>
    </row>
    <row r="48" spans="1:6">
      <c r="A48" s="27" t="s">
        <v>52</v>
      </c>
      <c r="B48" s="28" t="s">
        <v>162</v>
      </c>
      <c r="C48" s="27" t="s">
        <v>51</v>
      </c>
      <c r="D48" s="29">
        <v>22.15</v>
      </c>
      <c r="E48" s="30">
        <v>481.76</v>
      </c>
      <c r="F48" t="s">
        <v>318</v>
      </c>
    </row>
    <row r="49" spans="1:6">
      <c r="A49" s="27" t="s">
        <v>163</v>
      </c>
      <c r="B49" s="28" t="s">
        <v>162</v>
      </c>
      <c r="C49" s="27" t="s">
        <v>51</v>
      </c>
      <c r="D49" s="29">
        <v>27.3</v>
      </c>
      <c r="E49" s="30">
        <v>655.20000000000005</v>
      </c>
      <c r="F49" t="s">
        <v>318</v>
      </c>
    </row>
    <row r="50" spans="1:6">
      <c r="A50" s="19" t="s">
        <v>7</v>
      </c>
      <c r="D50" s="26">
        <f>SUM(D47:D49)</f>
        <v>61.5</v>
      </c>
      <c r="E50" s="25">
        <f>SUM(E47:E49)</f>
        <v>1353.8600000000001</v>
      </c>
    </row>
    <row r="51" spans="1:6">
      <c r="A51" s="19"/>
      <c r="D51" s="26"/>
      <c r="E51" s="25"/>
    </row>
    <row r="52" spans="1:6">
      <c r="A52" s="20" t="s">
        <v>203</v>
      </c>
      <c r="B52" s="23" t="s">
        <v>164</v>
      </c>
      <c r="C52" s="20" t="s">
        <v>60</v>
      </c>
      <c r="D52" s="21">
        <v>1.45</v>
      </c>
      <c r="E52" s="22">
        <v>28.28</v>
      </c>
    </row>
    <row r="53" spans="1:6">
      <c r="A53" s="27" t="s">
        <v>64</v>
      </c>
      <c r="B53" s="28" t="s">
        <v>164</v>
      </c>
      <c r="C53" s="27" t="s">
        <v>60</v>
      </c>
      <c r="D53" s="29">
        <v>12.07</v>
      </c>
      <c r="E53" s="30">
        <v>217.2</v>
      </c>
      <c r="F53" t="s">
        <v>318</v>
      </c>
    </row>
    <row r="54" spans="1:6">
      <c r="A54" s="19" t="s">
        <v>7</v>
      </c>
      <c r="D54" s="26">
        <f>SUM(D52:D53)</f>
        <v>13.52</v>
      </c>
      <c r="E54" s="25">
        <f>SUM(E52:E53)</f>
        <v>245.48</v>
      </c>
    </row>
    <row r="55" spans="1:6">
      <c r="A55" s="19"/>
      <c r="D55" s="26"/>
      <c r="E55" s="25"/>
    </row>
    <row r="56" spans="1:6">
      <c r="A56" s="27" t="s">
        <v>221</v>
      </c>
      <c r="B56" s="28" t="s">
        <v>165</v>
      </c>
      <c r="C56" s="27" t="s">
        <v>45</v>
      </c>
      <c r="D56" s="29">
        <v>5.01</v>
      </c>
      <c r="E56" s="30">
        <f>57.38+44.21</f>
        <v>101.59</v>
      </c>
      <c r="F56" t="s">
        <v>318</v>
      </c>
    </row>
    <row r="57" spans="1:6">
      <c r="A57" s="19" t="s">
        <v>7</v>
      </c>
      <c r="D57" s="26">
        <f>SUM(D56)</f>
        <v>5.01</v>
      </c>
      <c r="E57" s="25">
        <f>SUM(E56)</f>
        <v>101.59</v>
      </c>
    </row>
    <row r="58" spans="1:6">
      <c r="A58" s="19"/>
      <c r="D58" s="21"/>
      <c r="E58" s="22"/>
    </row>
    <row r="59" spans="1:6">
      <c r="A59" s="27" t="s">
        <v>166</v>
      </c>
      <c r="B59" s="28" t="s">
        <v>167</v>
      </c>
      <c r="C59" s="27" t="s">
        <v>54</v>
      </c>
      <c r="D59" s="29">
        <v>8.85</v>
      </c>
      <c r="E59" s="30">
        <v>199.13</v>
      </c>
      <c r="F59" t="s">
        <v>318</v>
      </c>
    </row>
    <row r="60" spans="1:6">
      <c r="A60" s="27" t="s">
        <v>253</v>
      </c>
      <c r="B60" s="28" t="s">
        <v>167</v>
      </c>
      <c r="C60" s="27" t="s">
        <v>54</v>
      </c>
      <c r="D60" s="29">
        <v>20.87</v>
      </c>
      <c r="E60" s="30">
        <v>438.2</v>
      </c>
      <c r="F60" t="s">
        <v>318</v>
      </c>
    </row>
    <row r="61" spans="1:6">
      <c r="A61" s="20" t="s">
        <v>270</v>
      </c>
      <c r="B61" s="23" t="s">
        <v>167</v>
      </c>
      <c r="C61" s="20" t="s">
        <v>54</v>
      </c>
      <c r="D61" s="21">
        <v>0.12</v>
      </c>
      <c r="E61" s="22">
        <v>3.15</v>
      </c>
    </row>
    <row r="62" spans="1:6">
      <c r="A62" s="20" t="s">
        <v>311</v>
      </c>
      <c r="B62" s="23" t="s">
        <v>167</v>
      </c>
      <c r="C62" s="20" t="s">
        <v>54</v>
      </c>
      <c r="D62" s="21">
        <v>1.78</v>
      </c>
      <c r="E62" s="22">
        <v>38.79</v>
      </c>
    </row>
    <row r="63" spans="1:6">
      <c r="A63" s="19" t="s">
        <v>7</v>
      </c>
      <c r="B63" s="23"/>
      <c r="D63" s="26">
        <f>SUM(D59:D62)</f>
        <v>31.62</v>
      </c>
      <c r="E63" s="25">
        <f>SUM(E59:E62)</f>
        <v>679.26999999999987</v>
      </c>
    </row>
    <row r="64" spans="1:6">
      <c r="B64" s="23"/>
      <c r="D64" s="21"/>
      <c r="E64" s="22"/>
    </row>
    <row r="65" spans="1:6">
      <c r="A65" s="20" t="s">
        <v>312</v>
      </c>
      <c r="B65" s="23" t="s">
        <v>171</v>
      </c>
      <c r="C65" s="20" t="s">
        <v>25</v>
      </c>
      <c r="D65" s="21">
        <v>0.98</v>
      </c>
      <c r="E65" s="22">
        <v>25.08</v>
      </c>
    </row>
    <row r="66" spans="1:6">
      <c r="A66" s="20" t="s">
        <v>286</v>
      </c>
      <c r="B66" s="20" t="s">
        <v>171</v>
      </c>
      <c r="C66" s="20" t="s">
        <v>25</v>
      </c>
      <c r="D66" s="21">
        <v>2.97</v>
      </c>
      <c r="E66" s="22">
        <v>75.650000000000006</v>
      </c>
    </row>
    <row r="67" spans="1:6">
      <c r="A67" s="20" t="s">
        <v>229</v>
      </c>
      <c r="B67" s="23" t="s">
        <v>171</v>
      </c>
      <c r="C67" s="20" t="s">
        <v>25</v>
      </c>
      <c r="D67" s="21">
        <v>3.53</v>
      </c>
      <c r="E67" s="22">
        <v>92.75</v>
      </c>
    </row>
    <row r="68" spans="1:6">
      <c r="A68" s="69" t="s">
        <v>306</v>
      </c>
      <c r="B68" s="70" t="s">
        <v>171</v>
      </c>
      <c r="C68" s="69" t="s">
        <v>25</v>
      </c>
      <c r="D68" s="71">
        <v>4.68</v>
      </c>
      <c r="E68" s="72">
        <v>122.94</v>
      </c>
      <c r="F68" s="31" t="s">
        <v>322</v>
      </c>
    </row>
    <row r="69" spans="1:6">
      <c r="A69" s="20" t="s">
        <v>26</v>
      </c>
      <c r="B69" s="20" t="s">
        <v>171</v>
      </c>
      <c r="C69" s="20" t="s">
        <v>25</v>
      </c>
      <c r="D69" s="21">
        <v>1.7</v>
      </c>
      <c r="E69" s="22">
        <v>45.9</v>
      </c>
    </row>
    <row r="70" spans="1:6">
      <c r="A70" s="19" t="s">
        <v>7</v>
      </c>
      <c r="D70" s="26">
        <f>SUM(D66:D69)</f>
        <v>12.879999999999999</v>
      </c>
      <c r="E70" s="25">
        <f>SUM(E66:E69)</f>
        <v>337.24</v>
      </c>
    </row>
    <row r="71" spans="1:6">
      <c r="D71" s="21"/>
      <c r="E71" s="22"/>
    </row>
    <row r="72" spans="1:6">
      <c r="A72" s="73" t="s">
        <v>13</v>
      </c>
      <c r="B72" s="73" t="s">
        <v>172</v>
      </c>
      <c r="C72" s="73" t="s">
        <v>12</v>
      </c>
      <c r="D72" s="74">
        <v>6.35</v>
      </c>
      <c r="E72" s="75">
        <v>235.84</v>
      </c>
      <c r="F72" s="20" t="s">
        <v>323</v>
      </c>
    </row>
    <row r="73" spans="1:6">
      <c r="A73" s="19" t="s">
        <v>7</v>
      </c>
      <c r="D73" s="26">
        <f>SUM(D72:D72)</f>
        <v>6.35</v>
      </c>
      <c r="E73" s="25">
        <f>SUM(E72:E72)</f>
        <v>235.84</v>
      </c>
    </row>
    <row r="74" spans="1:6">
      <c r="A74" s="19"/>
      <c r="D74" s="21"/>
      <c r="E74" s="22"/>
    </row>
    <row r="75" spans="1:6">
      <c r="A75" s="20" t="s">
        <v>307</v>
      </c>
      <c r="B75" s="20">
        <v>100035</v>
      </c>
      <c r="C75" s="20" t="s">
        <v>23</v>
      </c>
      <c r="D75" s="21">
        <v>0.6</v>
      </c>
      <c r="E75" s="22">
        <v>21.91</v>
      </c>
    </row>
    <row r="76" spans="1:6">
      <c r="A76" s="19" t="s">
        <v>7</v>
      </c>
      <c r="D76" s="26">
        <f>SUM(D75:D75)</f>
        <v>0.6</v>
      </c>
      <c r="E76" s="25">
        <f>SUM(E75:E75)</f>
        <v>21.91</v>
      </c>
    </row>
    <row r="77" spans="1:6">
      <c r="A77" s="19"/>
      <c r="D77" s="21"/>
      <c r="E77" s="22"/>
    </row>
    <row r="78" spans="1:6">
      <c r="A78" s="27" t="s">
        <v>36</v>
      </c>
      <c r="B78" s="27">
        <v>100051</v>
      </c>
      <c r="C78" s="27" t="s">
        <v>34</v>
      </c>
      <c r="D78" s="29">
        <v>11.17</v>
      </c>
      <c r="E78" s="30">
        <v>234.5</v>
      </c>
      <c r="F78" t="s">
        <v>318</v>
      </c>
    </row>
    <row r="79" spans="1:6">
      <c r="A79" s="27" t="s">
        <v>37</v>
      </c>
      <c r="B79" s="27">
        <v>100051</v>
      </c>
      <c r="C79" s="27" t="s">
        <v>34</v>
      </c>
      <c r="D79" s="29">
        <v>29.75</v>
      </c>
      <c r="E79" s="30">
        <v>632.78</v>
      </c>
      <c r="F79" t="s">
        <v>318</v>
      </c>
    </row>
    <row r="80" spans="1:6">
      <c r="A80" s="20" t="s">
        <v>41</v>
      </c>
      <c r="B80" s="20">
        <v>100051</v>
      </c>
      <c r="C80" s="20" t="s">
        <v>34</v>
      </c>
      <c r="D80" s="21">
        <v>1.5</v>
      </c>
      <c r="E80" s="22">
        <v>35.44</v>
      </c>
    </row>
    <row r="81" spans="1:6">
      <c r="A81" s="19" t="s">
        <v>7</v>
      </c>
      <c r="D81" s="26">
        <f>SUM(D78:D80)</f>
        <v>42.42</v>
      </c>
      <c r="E81" s="25">
        <f>SUM(E78:E80)</f>
        <v>902.72</v>
      </c>
    </row>
    <row r="82" spans="1:6">
      <c r="A82" s="19"/>
      <c r="D82" s="26"/>
      <c r="E82" s="25"/>
    </row>
    <row r="83" spans="1:6">
      <c r="A83" s="20" t="s">
        <v>136</v>
      </c>
      <c r="B83" s="20">
        <v>250025</v>
      </c>
      <c r="C83" s="20" t="s">
        <v>302</v>
      </c>
      <c r="D83" s="21">
        <v>0.35</v>
      </c>
      <c r="E83" s="22">
        <v>10.27</v>
      </c>
    </row>
    <row r="84" spans="1:6">
      <c r="A84" s="19" t="s">
        <v>7</v>
      </c>
      <c r="D84" s="26">
        <f>SUM(D83)</f>
        <v>0.35</v>
      </c>
      <c r="E84" s="25">
        <f>SUM(E83)</f>
        <v>10.27</v>
      </c>
    </row>
    <row r="85" spans="1:6">
      <c r="A85" s="19"/>
      <c r="D85" s="26"/>
      <c r="E85" s="25"/>
    </row>
    <row r="86" spans="1:6">
      <c r="A86" s="20" t="s">
        <v>16</v>
      </c>
      <c r="B86" s="20">
        <v>290020</v>
      </c>
      <c r="C86" s="20" t="s">
        <v>146</v>
      </c>
      <c r="D86" s="21">
        <v>1.22</v>
      </c>
      <c r="E86" s="22">
        <v>33.340000000000003</v>
      </c>
    </row>
    <row r="87" spans="1:6">
      <c r="A87" s="19" t="s">
        <v>7</v>
      </c>
      <c r="D87" s="26">
        <v>1.22</v>
      </c>
      <c r="E87" s="25">
        <v>33.340000000000003</v>
      </c>
    </row>
    <row r="88" spans="1:6">
      <c r="A88" s="19"/>
      <c r="D88" s="26"/>
      <c r="E88" s="25"/>
    </row>
    <row r="89" spans="1:6">
      <c r="A89" s="27" t="s">
        <v>276</v>
      </c>
      <c r="B89" s="27">
        <v>290051</v>
      </c>
      <c r="C89" s="27" t="s">
        <v>324</v>
      </c>
      <c r="D89" s="29">
        <v>11.78</v>
      </c>
      <c r="E89" s="30">
        <v>229.24</v>
      </c>
      <c r="F89" t="s">
        <v>318</v>
      </c>
    </row>
    <row r="90" spans="1:6">
      <c r="A90" s="27" t="s">
        <v>325</v>
      </c>
      <c r="B90" s="27">
        <v>290051</v>
      </c>
      <c r="C90" s="27" t="s">
        <v>324</v>
      </c>
      <c r="D90" s="29">
        <v>10.82</v>
      </c>
      <c r="E90" s="30">
        <v>162.25</v>
      </c>
      <c r="F90" t="s">
        <v>318</v>
      </c>
    </row>
    <row r="91" spans="1:6">
      <c r="A91" s="27" t="s">
        <v>215</v>
      </c>
      <c r="B91" s="27">
        <v>290051</v>
      </c>
      <c r="C91" s="27" t="s">
        <v>324</v>
      </c>
      <c r="D91" s="29">
        <v>12.03</v>
      </c>
      <c r="E91" s="30">
        <v>183.93</v>
      </c>
      <c r="F91" t="s">
        <v>318</v>
      </c>
    </row>
    <row r="92" spans="1:6">
      <c r="A92" s="27" t="s">
        <v>144</v>
      </c>
      <c r="B92" s="27">
        <v>290051</v>
      </c>
      <c r="C92" s="27" t="s">
        <v>324</v>
      </c>
      <c r="D92" s="29">
        <v>12</v>
      </c>
      <c r="E92" s="30">
        <v>212.04</v>
      </c>
      <c r="F92" t="s">
        <v>318</v>
      </c>
    </row>
    <row r="93" spans="1:6">
      <c r="A93" s="19" t="s">
        <v>7</v>
      </c>
      <c r="D93" s="26">
        <f>SUM(D89:D92)</f>
        <v>46.63</v>
      </c>
      <c r="E93" s="25">
        <f>SUM(E89:E92)</f>
        <v>787.46</v>
      </c>
    </row>
    <row r="94" spans="1:6">
      <c r="A94" s="19"/>
      <c r="D94" s="26"/>
      <c r="E94" s="25"/>
    </row>
    <row r="95" spans="1:6">
      <c r="A95" s="20" t="s">
        <v>95</v>
      </c>
      <c r="B95" s="20" t="s">
        <v>180</v>
      </c>
      <c r="C95" s="20" t="s">
        <v>96</v>
      </c>
      <c r="D95" s="21">
        <v>2.68</v>
      </c>
      <c r="E95" s="22">
        <v>72.41</v>
      </c>
    </row>
    <row r="96" spans="1:6">
      <c r="A96" s="19" t="s">
        <v>7</v>
      </c>
      <c r="D96" s="26">
        <f>SUM(D95)</f>
        <v>2.68</v>
      </c>
      <c r="E96" s="25">
        <f>SUM(E95)</f>
        <v>72.41</v>
      </c>
    </row>
    <row r="97" spans="1:6">
      <c r="D97" s="21"/>
      <c r="E97" s="22"/>
    </row>
    <row r="98" spans="1:6">
      <c r="A98" s="20" t="s">
        <v>244</v>
      </c>
      <c r="B98" s="20">
        <v>400020</v>
      </c>
      <c r="C98" s="20" t="s">
        <v>98</v>
      </c>
      <c r="D98" s="21">
        <v>2.25</v>
      </c>
      <c r="E98" s="22">
        <v>54</v>
      </c>
    </row>
    <row r="99" spans="1:6">
      <c r="A99" s="20" t="s">
        <v>97</v>
      </c>
      <c r="B99" s="20" t="s">
        <v>181</v>
      </c>
      <c r="C99" s="20" t="s">
        <v>98</v>
      </c>
      <c r="D99" s="21">
        <v>1.02</v>
      </c>
      <c r="E99" s="22">
        <v>30.21</v>
      </c>
    </row>
    <row r="100" spans="1:6">
      <c r="A100" s="19" t="s">
        <v>7</v>
      </c>
      <c r="D100" s="26">
        <f>SUM(D98:D99)</f>
        <v>3.27</v>
      </c>
      <c r="E100" s="25">
        <f>SUM(E98:E99)</f>
        <v>84.210000000000008</v>
      </c>
    </row>
    <row r="101" spans="1:6">
      <c r="D101" s="21"/>
      <c r="E101" s="22"/>
    </row>
    <row r="102" spans="1:6">
      <c r="A102" s="20" t="s">
        <v>100</v>
      </c>
      <c r="B102" s="20" t="s">
        <v>182</v>
      </c>
      <c r="C102" s="20" t="s">
        <v>101</v>
      </c>
      <c r="D102" s="21">
        <v>1.1000000000000001</v>
      </c>
      <c r="E102" s="22">
        <v>31.89</v>
      </c>
    </row>
    <row r="103" spans="1:6">
      <c r="A103" s="19" t="s">
        <v>7</v>
      </c>
      <c r="D103" s="26">
        <f>SUM(D102)</f>
        <v>1.1000000000000001</v>
      </c>
      <c r="E103" s="25">
        <f>SUM(E102)</f>
        <v>31.89</v>
      </c>
    </row>
    <row r="104" spans="1:6">
      <c r="A104" s="19"/>
      <c r="D104" s="26"/>
      <c r="E104" s="25"/>
    </row>
    <row r="105" spans="1:6">
      <c r="A105" s="20" t="s">
        <v>132</v>
      </c>
      <c r="B105" s="20">
        <v>450045</v>
      </c>
      <c r="C105" s="20" t="s">
        <v>326</v>
      </c>
      <c r="D105" s="21">
        <v>0.5</v>
      </c>
      <c r="E105" s="22">
        <v>9.23</v>
      </c>
    </row>
    <row r="106" spans="1:6">
      <c r="A106" s="19" t="s">
        <v>7</v>
      </c>
      <c r="D106" s="26">
        <v>0.5</v>
      </c>
      <c r="E106" s="25">
        <v>9.23</v>
      </c>
    </row>
    <row r="107" spans="1:6">
      <c r="A107" s="19"/>
      <c r="D107" s="26"/>
      <c r="E107" s="25"/>
    </row>
    <row r="108" spans="1:6">
      <c r="A108" s="32" t="s">
        <v>282</v>
      </c>
      <c r="B108" s="32">
        <v>450049</v>
      </c>
      <c r="C108" s="32" t="s">
        <v>315</v>
      </c>
      <c r="D108" s="33">
        <v>12.75</v>
      </c>
      <c r="E108" s="34">
        <f>126.71+181.01</f>
        <v>307.71999999999997</v>
      </c>
      <c r="F108" s="31" t="s">
        <v>310</v>
      </c>
    </row>
    <row r="109" spans="1:6">
      <c r="A109" s="19" t="s">
        <v>7</v>
      </c>
      <c r="D109" s="26">
        <f>SUM(D108)</f>
        <v>12.75</v>
      </c>
      <c r="E109" s="25">
        <f>SUM(E108)</f>
        <v>307.71999999999997</v>
      </c>
      <c r="F109" s="18"/>
    </row>
    <row r="110" spans="1:6">
      <c r="A110" s="19"/>
      <c r="D110" s="26"/>
      <c r="E110" s="25"/>
      <c r="F110" s="18"/>
    </row>
    <row r="111" spans="1:6">
      <c r="A111" s="32" t="s">
        <v>123</v>
      </c>
      <c r="B111" s="32">
        <v>450051</v>
      </c>
      <c r="C111" s="32" t="s">
        <v>279</v>
      </c>
      <c r="D111" s="33">
        <v>4</v>
      </c>
      <c r="E111" s="34">
        <v>67.8</v>
      </c>
      <c r="F111" s="31" t="s">
        <v>310</v>
      </c>
    </row>
    <row r="112" spans="1:6">
      <c r="A112" s="20" t="s">
        <v>112</v>
      </c>
      <c r="B112" s="20">
        <v>450051</v>
      </c>
      <c r="C112" s="20" t="s">
        <v>279</v>
      </c>
      <c r="D112" s="21">
        <v>2.25</v>
      </c>
      <c r="E112" s="22">
        <v>37.130000000000003</v>
      </c>
    </row>
    <row r="113" spans="1:5">
      <c r="A113" s="19" t="s">
        <v>7</v>
      </c>
      <c r="D113" s="26">
        <f>SUM(D111:D112)</f>
        <v>6.25</v>
      </c>
      <c r="E113" s="25">
        <f>SUM(E111:E112)</f>
        <v>104.93</v>
      </c>
    </row>
    <row r="114" spans="1:5">
      <c r="A114" s="19"/>
      <c r="D114" s="21"/>
      <c r="E114" s="22"/>
    </row>
    <row r="115" spans="1:5">
      <c r="A115" s="19" t="s">
        <v>194</v>
      </c>
      <c r="D115" s="26">
        <f>D113+D109+D106+D103+D100+D96+D93+D87+D84+D81+D76+D73+D70+D63+D57+D54+D50+D45+D20+D16+D12+D8+D5</f>
        <v>507.87</v>
      </c>
      <c r="E115" s="26">
        <f>E113+E109+E106+E103+E100+E96+E93+E87+E84+E81+E76+E73+E70+E63+E57+E54+E50+E45+E20+E16+E12+E8+E5</f>
        <v>10509.010000000002</v>
      </c>
    </row>
    <row r="116" spans="1:5">
      <c r="D116" s="26"/>
      <c r="E116" s="25"/>
    </row>
  </sheetData>
  <mergeCells count="1">
    <mergeCell ref="G4:J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33"/>
  <sheetViews>
    <sheetView workbookViewId="0">
      <selection activeCell="G1" sqref="G1:I4"/>
    </sheetView>
  </sheetViews>
  <sheetFormatPr defaultRowHeight="12.75"/>
  <cols>
    <col min="1" max="1" width="22.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17.85546875" style="18" customWidth="1"/>
    <col min="7" max="7" width="18.5703125" style="18" customWidth="1"/>
    <col min="8" max="8" width="21.7109375" style="18" customWidth="1"/>
    <col min="9" max="9" width="20.5703125" style="18" customWidth="1"/>
    <col min="10" max="16384" width="9.140625" style="18"/>
  </cols>
  <sheetData>
    <row r="1" spans="1:9">
      <c r="A1" s="19" t="s">
        <v>147</v>
      </c>
      <c r="B1" s="19" t="s">
        <v>148</v>
      </c>
      <c r="C1" s="19" t="s">
        <v>149</v>
      </c>
      <c r="D1" s="19" t="s">
        <v>150</v>
      </c>
      <c r="E1" s="19" t="s">
        <v>151</v>
      </c>
      <c r="F1" s="11" t="s">
        <v>258</v>
      </c>
      <c r="G1" s="38" t="s">
        <v>259</v>
      </c>
      <c r="H1" s="39" t="s">
        <v>261</v>
      </c>
      <c r="I1" s="42" t="s">
        <v>262</v>
      </c>
    </row>
    <row r="2" spans="1:9">
      <c r="A2" s="20" t="s">
        <v>20</v>
      </c>
      <c r="B2" s="20" t="s">
        <v>152</v>
      </c>
      <c r="C2" s="20" t="s">
        <v>15</v>
      </c>
      <c r="D2" s="21">
        <v>0.43</v>
      </c>
      <c r="E2" s="22">
        <v>11.38</v>
      </c>
      <c r="G2" s="13">
        <f>E14+E22+E23+E24+E25+E26+E27+E28+E31+E32+E33+E34+E35+E36+E38+E41+E42+E49+E50+E52+E71+E72</f>
        <v>7712.33</v>
      </c>
      <c r="H2" s="16">
        <f>E93+E94</f>
        <v>194.18</v>
      </c>
      <c r="I2" s="43">
        <f>E59+E60</f>
        <v>382.08</v>
      </c>
    </row>
    <row r="3" spans="1:9">
      <c r="A3" s="20" t="s">
        <v>18</v>
      </c>
      <c r="B3" s="20" t="s">
        <v>152</v>
      </c>
      <c r="C3" s="20" t="s">
        <v>15</v>
      </c>
      <c r="D3" s="21">
        <v>2.33</v>
      </c>
      <c r="E3" s="22">
        <v>64.959999999999994</v>
      </c>
      <c r="G3"/>
      <c r="H3"/>
      <c r="I3"/>
    </row>
    <row r="4" spans="1:9">
      <c r="A4" s="20" t="s">
        <v>19</v>
      </c>
      <c r="B4" s="23" t="s">
        <v>152</v>
      </c>
      <c r="C4" s="20" t="s">
        <v>15</v>
      </c>
      <c r="D4" s="21">
        <v>1.03</v>
      </c>
      <c r="E4" s="22">
        <v>30.85</v>
      </c>
      <c r="G4" s="305" t="s">
        <v>263</v>
      </c>
      <c r="H4" s="306"/>
      <c r="I4" s="306"/>
    </row>
    <row r="5" spans="1:9">
      <c r="A5" s="19" t="s">
        <v>7</v>
      </c>
      <c r="B5" s="20"/>
      <c r="C5" s="20"/>
      <c r="D5" s="24">
        <f>SUM(D2:D4)</f>
        <v>3.79</v>
      </c>
      <c r="E5" s="25">
        <f>SUM(E2:E4)</f>
        <v>107.19</v>
      </c>
      <c r="G5"/>
      <c r="H5"/>
      <c r="I5"/>
    </row>
    <row r="6" spans="1:9">
      <c r="A6" s="19"/>
      <c r="B6" s="20"/>
      <c r="C6" s="20"/>
      <c r="D6" s="24"/>
      <c r="E6" s="25"/>
    </row>
    <row r="7" spans="1:9">
      <c r="A7" s="20" t="s">
        <v>309</v>
      </c>
      <c r="B7" s="23" t="s">
        <v>217</v>
      </c>
      <c r="C7" s="20" t="s">
        <v>218</v>
      </c>
      <c r="D7" s="55">
        <v>1.2</v>
      </c>
      <c r="E7" s="22">
        <v>29.25</v>
      </c>
    </row>
    <row r="8" spans="1:9">
      <c r="A8" s="19" t="s">
        <v>7</v>
      </c>
      <c r="B8" s="20"/>
      <c r="C8" s="20"/>
      <c r="D8" s="24">
        <f>SUM(D7:D7)</f>
        <v>1.2</v>
      </c>
      <c r="E8" s="25">
        <f>SUM(E7:E7)</f>
        <v>29.25</v>
      </c>
    </row>
    <row r="9" spans="1:9">
      <c r="A9" s="19"/>
      <c r="B9" s="20"/>
      <c r="C9" s="20"/>
      <c r="D9" s="26"/>
      <c r="E9" s="25"/>
    </row>
    <row r="10" spans="1:9">
      <c r="A10" s="20" t="s">
        <v>30</v>
      </c>
      <c r="B10" s="20" t="s">
        <v>155</v>
      </c>
      <c r="C10" s="20" t="s">
        <v>31</v>
      </c>
      <c r="D10" s="21">
        <v>0.77</v>
      </c>
      <c r="E10" s="22">
        <v>20.14</v>
      </c>
    </row>
    <row r="11" spans="1:9">
      <c r="A11" s="20" t="s">
        <v>195</v>
      </c>
      <c r="B11" s="23" t="s">
        <v>155</v>
      </c>
      <c r="C11" s="20" t="s">
        <v>196</v>
      </c>
      <c r="D11" s="21">
        <v>2.4700000000000002</v>
      </c>
      <c r="E11" s="22">
        <v>74</v>
      </c>
    </row>
    <row r="12" spans="1:9">
      <c r="A12" s="19" t="s">
        <v>7</v>
      </c>
      <c r="B12" s="20"/>
      <c r="C12" s="20"/>
      <c r="D12" s="26">
        <f>SUM(D10:D11)</f>
        <v>3.24</v>
      </c>
      <c r="E12" s="25">
        <f>SUM(E10:E11)</f>
        <v>94.14</v>
      </c>
    </row>
    <row r="13" spans="1:9">
      <c r="A13" s="19"/>
      <c r="B13" s="20"/>
      <c r="C13" s="20"/>
      <c r="D13" s="26"/>
      <c r="E13" s="25"/>
    </row>
    <row r="14" spans="1:9">
      <c r="A14" s="27" t="s">
        <v>317</v>
      </c>
      <c r="B14" s="28" t="s">
        <v>198</v>
      </c>
      <c r="C14" s="27" t="s">
        <v>199</v>
      </c>
      <c r="D14" s="29">
        <v>10</v>
      </c>
      <c r="E14" s="30">
        <v>247.5</v>
      </c>
      <c r="F14" s="31" t="s">
        <v>310</v>
      </c>
    </row>
    <row r="15" spans="1:9">
      <c r="A15" s="19" t="s">
        <v>7</v>
      </c>
      <c r="B15" s="20"/>
      <c r="C15" s="20"/>
      <c r="D15" s="26">
        <f>SUM(D14:D14)</f>
        <v>10</v>
      </c>
      <c r="E15" s="25">
        <f>SUM(E14:E14)</f>
        <v>247.5</v>
      </c>
    </row>
    <row r="16" spans="1:9">
      <c r="A16" s="19"/>
      <c r="B16" s="20"/>
      <c r="C16" s="20"/>
      <c r="D16" s="26"/>
      <c r="E16" s="25"/>
    </row>
    <row r="17" spans="1:6">
      <c r="A17" s="20" t="s">
        <v>14</v>
      </c>
      <c r="B17" s="23" t="s">
        <v>156</v>
      </c>
      <c r="C17" s="20" t="s">
        <v>91</v>
      </c>
      <c r="D17" s="21">
        <v>2.2999999999999998</v>
      </c>
      <c r="E17" s="22">
        <v>58.65</v>
      </c>
    </row>
    <row r="18" spans="1:6">
      <c r="A18" s="20" t="s">
        <v>92</v>
      </c>
      <c r="B18" s="23" t="s">
        <v>156</v>
      </c>
      <c r="C18" s="20" t="s">
        <v>91</v>
      </c>
      <c r="D18" s="21">
        <v>2.08</v>
      </c>
      <c r="E18" s="22">
        <v>55.13</v>
      </c>
    </row>
    <row r="19" spans="1:6">
      <c r="A19" s="19" t="s">
        <v>7</v>
      </c>
      <c r="B19" s="20"/>
      <c r="C19" s="20"/>
      <c r="D19" s="26">
        <f>SUM(D17:D18)</f>
        <v>4.38</v>
      </c>
      <c r="E19" s="25">
        <f>SUM(E17:E18)</f>
        <v>113.78</v>
      </c>
    </row>
    <row r="20" spans="1:6">
      <c r="A20" s="20"/>
      <c r="B20" s="20"/>
      <c r="C20" s="20"/>
      <c r="D20" s="21"/>
      <c r="E20" s="22"/>
    </row>
    <row r="21" spans="1:6">
      <c r="A21" s="20" t="s">
        <v>266</v>
      </c>
      <c r="B21" s="23" t="s">
        <v>157</v>
      </c>
      <c r="C21" s="20" t="s">
        <v>66</v>
      </c>
      <c r="D21" s="21">
        <v>0.78</v>
      </c>
      <c r="E21" s="22">
        <v>15.28</v>
      </c>
    </row>
    <row r="22" spans="1:6">
      <c r="A22" s="27" t="s">
        <v>290</v>
      </c>
      <c r="B22" s="28" t="s">
        <v>157</v>
      </c>
      <c r="C22" s="27" t="s">
        <v>66</v>
      </c>
      <c r="D22" s="29">
        <v>9.7200000000000006</v>
      </c>
      <c r="E22" s="30">
        <v>189.48</v>
      </c>
      <c r="F22" s="31" t="s">
        <v>310</v>
      </c>
    </row>
    <row r="23" spans="1:6">
      <c r="A23" s="27" t="s">
        <v>320</v>
      </c>
      <c r="B23" s="28" t="s">
        <v>157</v>
      </c>
      <c r="C23" s="27" t="s">
        <v>66</v>
      </c>
      <c r="D23" s="29">
        <v>6.97</v>
      </c>
      <c r="E23" s="30">
        <v>130.63</v>
      </c>
      <c r="F23" s="31" t="s">
        <v>310</v>
      </c>
    </row>
    <row r="24" spans="1:6">
      <c r="A24" s="27" t="s">
        <v>321</v>
      </c>
      <c r="B24" s="28" t="s">
        <v>157</v>
      </c>
      <c r="C24" s="27" t="s">
        <v>66</v>
      </c>
      <c r="D24" s="29">
        <v>17.100000000000001</v>
      </c>
      <c r="E24" s="30">
        <v>333.45</v>
      </c>
      <c r="F24" s="31" t="s">
        <v>310</v>
      </c>
    </row>
    <row r="25" spans="1:6">
      <c r="A25" s="27" t="s">
        <v>175</v>
      </c>
      <c r="B25" s="28" t="s">
        <v>157</v>
      </c>
      <c r="C25" s="27" t="s">
        <v>66</v>
      </c>
      <c r="D25" s="29">
        <v>25.87</v>
      </c>
      <c r="E25" s="30">
        <v>465.6</v>
      </c>
      <c r="F25" s="31" t="s">
        <v>310</v>
      </c>
    </row>
    <row r="26" spans="1:6">
      <c r="A26" s="27" t="s">
        <v>228</v>
      </c>
      <c r="B26" s="28" t="s">
        <v>157</v>
      </c>
      <c r="C26" s="27" t="s">
        <v>66</v>
      </c>
      <c r="D26" s="29">
        <v>35.270000000000003</v>
      </c>
      <c r="E26" s="30">
        <v>687.7</v>
      </c>
      <c r="F26" s="31" t="s">
        <v>310</v>
      </c>
    </row>
    <row r="27" spans="1:6">
      <c r="A27" s="27" t="s">
        <v>210</v>
      </c>
      <c r="B27" s="28" t="s">
        <v>157</v>
      </c>
      <c r="C27" s="27" t="s">
        <v>66</v>
      </c>
      <c r="D27" s="27">
        <v>18.63</v>
      </c>
      <c r="E27" s="30">
        <v>363.35</v>
      </c>
      <c r="F27" s="31" t="s">
        <v>310</v>
      </c>
    </row>
    <row r="28" spans="1:6">
      <c r="A28" s="27" t="s">
        <v>89</v>
      </c>
      <c r="B28" s="28" t="s">
        <v>157</v>
      </c>
      <c r="C28" s="27" t="s">
        <v>66</v>
      </c>
      <c r="D28" s="27">
        <v>8.0299999999999994</v>
      </c>
      <c r="E28" s="30">
        <v>156.65</v>
      </c>
      <c r="F28" s="31" t="s">
        <v>310</v>
      </c>
    </row>
    <row r="29" spans="1:6">
      <c r="A29" s="20" t="s">
        <v>237</v>
      </c>
      <c r="B29" s="23" t="s">
        <v>157</v>
      </c>
      <c r="C29" s="20" t="s">
        <v>66</v>
      </c>
      <c r="D29" s="20">
        <v>0.52</v>
      </c>
      <c r="E29" s="22">
        <v>10.08</v>
      </c>
    </row>
    <row r="30" spans="1:6">
      <c r="A30" s="20" t="s">
        <v>86</v>
      </c>
      <c r="B30" s="23" t="s">
        <v>157</v>
      </c>
      <c r="C30" s="20" t="s">
        <v>66</v>
      </c>
      <c r="D30" s="20">
        <v>0.12</v>
      </c>
      <c r="E30" s="22">
        <v>2.54</v>
      </c>
    </row>
    <row r="31" spans="1:6">
      <c r="A31" s="27" t="s">
        <v>292</v>
      </c>
      <c r="B31" s="28" t="s">
        <v>157</v>
      </c>
      <c r="C31" s="27" t="s">
        <v>66</v>
      </c>
      <c r="D31" s="27">
        <v>18.2</v>
      </c>
      <c r="E31" s="30">
        <v>354.9</v>
      </c>
      <c r="F31" s="31" t="s">
        <v>310</v>
      </c>
    </row>
    <row r="32" spans="1:6">
      <c r="A32" s="27" t="s">
        <v>327</v>
      </c>
      <c r="B32" s="28" t="s">
        <v>157</v>
      </c>
      <c r="C32" s="27" t="s">
        <v>66</v>
      </c>
      <c r="D32" s="27">
        <v>33.020000000000003</v>
      </c>
      <c r="E32" s="30">
        <v>619.05999999999995</v>
      </c>
      <c r="F32" s="31" t="s">
        <v>310</v>
      </c>
    </row>
    <row r="33" spans="1:6">
      <c r="A33" s="27" t="s">
        <v>299</v>
      </c>
      <c r="B33" s="28" t="s">
        <v>157</v>
      </c>
      <c r="C33" s="27" t="s">
        <v>66</v>
      </c>
      <c r="D33" s="27">
        <v>17.28</v>
      </c>
      <c r="E33" s="30">
        <v>311.10000000000002</v>
      </c>
      <c r="F33" s="31" t="s">
        <v>310</v>
      </c>
    </row>
    <row r="34" spans="1:6">
      <c r="A34" s="27" t="s">
        <v>159</v>
      </c>
      <c r="B34" s="28" t="s">
        <v>157</v>
      </c>
      <c r="C34" s="27" t="s">
        <v>66</v>
      </c>
      <c r="D34" s="27">
        <v>9.02</v>
      </c>
      <c r="E34" s="30">
        <v>175.83</v>
      </c>
      <c r="F34" s="31" t="s">
        <v>310</v>
      </c>
    </row>
    <row r="35" spans="1:6">
      <c r="A35" s="27" t="s">
        <v>88</v>
      </c>
      <c r="B35" s="28" t="s">
        <v>157</v>
      </c>
      <c r="C35" s="27" t="s">
        <v>66</v>
      </c>
      <c r="D35" s="27">
        <v>11.92</v>
      </c>
      <c r="E35" s="30">
        <v>232.38</v>
      </c>
      <c r="F35" s="31" t="s">
        <v>310</v>
      </c>
    </row>
    <row r="36" spans="1:6">
      <c r="A36" s="27" t="s">
        <v>328</v>
      </c>
      <c r="B36" s="28" t="s">
        <v>157</v>
      </c>
      <c r="C36" s="27" t="s">
        <v>66</v>
      </c>
      <c r="D36" s="27">
        <v>7.52</v>
      </c>
      <c r="E36" s="30">
        <v>169.13</v>
      </c>
      <c r="F36" s="31" t="s">
        <v>310</v>
      </c>
    </row>
    <row r="37" spans="1:6">
      <c r="A37" s="20" t="s">
        <v>79</v>
      </c>
      <c r="B37" s="23" t="s">
        <v>157</v>
      </c>
      <c r="C37" s="20" t="s">
        <v>66</v>
      </c>
      <c r="D37" s="20">
        <v>0.22</v>
      </c>
      <c r="E37" s="22">
        <v>5.04</v>
      </c>
    </row>
    <row r="38" spans="1:6">
      <c r="A38" s="27" t="s">
        <v>161</v>
      </c>
      <c r="B38" s="28" t="s">
        <v>157</v>
      </c>
      <c r="C38" s="27" t="s">
        <v>66</v>
      </c>
      <c r="D38" s="27">
        <v>20.67</v>
      </c>
      <c r="E38" s="30">
        <v>403</v>
      </c>
      <c r="F38" s="31" t="s">
        <v>310</v>
      </c>
    </row>
    <row r="39" spans="1:6">
      <c r="A39" s="19" t="s">
        <v>7</v>
      </c>
      <c r="B39" s="20"/>
      <c r="C39" s="20"/>
      <c r="D39" s="26">
        <f>SUM(D21:D38)</f>
        <v>240.86</v>
      </c>
      <c r="E39" s="25">
        <f>SUM(E21:E38)</f>
        <v>4625.2</v>
      </c>
    </row>
    <row r="40" spans="1:6">
      <c r="A40" s="19"/>
      <c r="B40" s="20"/>
      <c r="C40" s="20"/>
      <c r="D40" s="26"/>
      <c r="E40" s="25"/>
    </row>
    <row r="41" spans="1:6">
      <c r="A41" s="27" t="s">
        <v>52</v>
      </c>
      <c r="B41" s="28" t="s">
        <v>162</v>
      </c>
      <c r="C41" s="27" t="s">
        <v>51</v>
      </c>
      <c r="D41" s="29">
        <v>22.68</v>
      </c>
      <c r="E41" s="30">
        <v>510.38</v>
      </c>
      <c r="F41" s="31" t="s">
        <v>310</v>
      </c>
    </row>
    <row r="42" spans="1:6">
      <c r="A42" s="27" t="s">
        <v>163</v>
      </c>
      <c r="B42" s="28" t="s">
        <v>162</v>
      </c>
      <c r="C42" s="27" t="s">
        <v>51</v>
      </c>
      <c r="D42" s="29">
        <v>25.42</v>
      </c>
      <c r="E42" s="30">
        <f>492+118</f>
        <v>610</v>
      </c>
      <c r="F42" s="31" t="s">
        <v>310</v>
      </c>
    </row>
    <row r="43" spans="1:6">
      <c r="A43" s="19" t="s">
        <v>7</v>
      </c>
      <c r="B43" s="20"/>
      <c r="C43" s="20"/>
      <c r="D43" s="26">
        <f>SUM(D41:D42)</f>
        <v>48.1</v>
      </c>
      <c r="E43" s="25">
        <f>SUM(E41:E42)</f>
        <v>1120.3800000000001</v>
      </c>
    </row>
    <row r="44" spans="1:6">
      <c r="A44" s="19"/>
      <c r="B44" s="20"/>
      <c r="C44" s="20"/>
      <c r="D44" s="26"/>
      <c r="E44" s="25"/>
    </row>
    <row r="45" spans="1:6">
      <c r="A45" s="20" t="s">
        <v>64</v>
      </c>
      <c r="B45" s="23" t="s">
        <v>164</v>
      </c>
      <c r="C45" s="20" t="s">
        <v>60</v>
      </c>
      <c r="D45" s="21">
        <v>0.5</v>
      </c>
      <c r="E45" s="22">
        <v>9</v>
      </c>
    </row>
    <row r="46" spans="1:6">
      <c r="A46" s="20" t="s">
        <v>329</v>
      </c>
      <c r="B46" s="23" t="s">
        <v>164</v>
      </c>
      <c r="C46" s="20" t="s">
        <v>60</v>
      </c>
      <c r="D46" s="21">
        <v>1.18</v>
      </c>
      <c r="E46" s="22">
        <v>31.95</v>
      </c>
    </row>
    <row r="47" spans="1:6">
      <c r="A47" s="19" t="s">
        <v>7</v>
      </c>
      <c r="B47" s="20"/>
      <c r="C47" s="20"/>
      <c r="D47" s="26">
        <f>SUM(D45:D46)</f>
        <v>1.68</v>
      </c>
      <c r="E47" s="25">
        <f>SUM(E45:E46)</f>
        <v>40.950000000000003</v>
      </c>
    </row>
    <row r="48" spans="1:6">
      <c r="A48" s="19"/>
      <c r="B48" s="20"/>
      <c r="C48" s="20"/>
      <c r="D48" s="26"/>
      <c r="E48" s="25"/>
    </row>
    <row r="49" spans="1:6">
      <c r="A49" s="27" t="s">
        <v>166</v>
      </c>
      <c r="B49" s="28" t="s">
        <v>167</v>
      </c>
      <c r="C49" s="27" t="s">
        <v>54</v>
      </c>
      <c r="D49" s="29">
        <v>13.78</v>
      </c>
      <c r="E49" s="30">
        <v>310.13</v>
      </c>
      <c r="F49" s="31" t="s">
        <v>310</v>
      </c>
    </row>
    <row r="50" spans="1:6">
      <c r="A50" s="27" t="s">
        <v>253</v>
      </c>
      <c r="B50" s="28" t="s">
        <v>167</v>
      </c>
      <c r="C50" s="27" t="s">
        <v>54</v>
      </c>
      <c r="D50" s="29">
        <v>12.8</v>
      </c>
      <c r="E50" s="30">
        <v>268.8</v>
      </c>
      <c r="F50" s="31" t="s">
        <v>310</v>
      </c>
    </row>
    <row r="51" spans="1:6">
      <c r="A51" s="20" t="s">
        <v>270</v>
      </c>
      <c r="B51" s="23" t="s">
        <v>167</v>
      </c>
      <c r="C51" s="20" t="s">
        <v>54</v>
      </c>
      <c r="D51" s="21">
        <v>3.07</v>
      </c>
      <c r="E51" s="22">
        <v>82.8</v>
      </c>
    </row>
    <row r="52" spans="1:6">
      <c r="A52" s="27" t="s">
        <v>311</v>
      </c>
      <c r="B52" s="28" t="s">
        <v>167</v>
      </c>
      <c r="C52" s="27" t="s">
        <v>54</v>
      </c>
      <c r="D52" s="29">
        <v>6.52</v>
      </c>
      <c r="E52" s="30">
        <v>141.74</v>
      </c>
      <c r="F52" s="31" t="s">
        <v>310</v>
      </c>
    </row>
    <row r="53" spans="1:6">
      <c r="A53" s="19" t="s">
        <v>7</v>
      </c>
      <c r="B53" s="23"/>
      <c r="C53" s="20"/>
      <c r="D53" s="26">
        <f>SUM(D49:D52)</f>
        <v>36.17</v>
      </c>
      <c r="E53" s="25">
        <f>SUM(E49:E52)</f>
        <v>803.47</v>
      </c>
    </row>
    <row r="54" spans="1:6">
      <c r="A54" s="19"/>
      <c r="B54" s="23"/>
      <c r="C54" s="20"/>
      <c r="D54" s="26"/>
      <c r="E54" s="25"/>
    </row>
    <row r="55" spans="1:6">
      <c r="A55" s="20" t="s">
        <v>330</v>
      </c>
      <c r="B55" s="23" t="s">
        <v>240</v>
      </c>
      <c r="C55" s="20" t="s">
        <v>241</v>
      </c>
      <c r="D55" s="21">
        <v>0.17</v>
      </c>
      <c r="E55" s="22">
        <v>5</v>
      </c>
    </row>
    <row r="56" spans="1:6">
      <c r="A56" s="19" t="s">
        <v>7</v>
      </c>
      <c r="B56" s="23"/>
      <c r="C56" s="20"/>
      <c r="D56" s="26">
        <v>0.17</v>
      </c>
      <c r="E56" s="25">
        <v>5</v>
      </c>
    </row>
    <row r="57" spans="1:6">
      <c r="A57" s="20"/>
      <c r="B57" s="23"/>
      <c r="C57" s="20"/>
      <c r="D57" s="21"/>
      <c r="E57" s="22"/>
    </row>
    <row r="58" spans="1:6">
      <c r="A58" s="20" t="s">
        <v>312</v>
      </c>
      <c r="B58" s="23" t="s">
        <v>171</v>
      </c>
      <c r="C58" s="20" t="s">
        <v>25</v>
      </c>
      <c r="D58" s="21">
        <v>0.4</v>
      </c>
      <c r="E58" s="22">
        <v>10.199999999999999</v>
      </c>
    </row>
    <row r="59" spans="1:6">
      <c r="A59" s="76" t="s">
        <v>286</v>
      </c>
      <c r="B59" s="76" t="s">
        <v>171</v>
      </c>
      <c r="C59" s="76" t="s">
        <v>25</v>
      </c>
      <c r="D59" s="77">
        <v>6.23</v>
      </c>
      <c r="E59" s="78">
        <v>158.94999999999999</v>
      </c>
      <c r="F59" s="31" t="s">
        <v>322</v>
      </c>
    </row>
    <row r="60" spans="1:6">
      <c r="A60" s="76" t="s">
        <v>229</v>
      </c>
      <c r="B60" s="79" t="s">
        <v>171</v>
      </c>
      <c r="C60" s="76" t="s">
        <v>25</v>
      </c>
      <c r="D60" s="77">
        <v>8.5</v>
      </c>
      <c r="E60" s="78">
        <v>223.13</v>
      </c>
      <c r="F60" s="31" t="s">
        <v>322</v>
      </c>
    </row>
    <row r="61" spans="1:6">
      <c r="A61" s="20" t="s">
        <v>306</v>
      </c>
      <c r="B61" s="23" t="s">
        <v>171</v>
      </c>
      <c r="C61" s="20" t="s">
        <v>25</v>
      </c>
      <c r="D61" s="21">
        <v>1.28</v>
      </c>
      <c r="E61" s="22">
        <v>33.69</v>
      </c>
    </row>
    <row r="62" spans="1:6">
      <c r="A62" s="19" t="s">
        <v>7</v>
      </c>
      <c r="B62" s="20"/>
      <c r="C62" s="20"/>
      <c r="D62" s="26">
        <f>SUM(D59:D61)</f>
        <v>16.010000000000002</v>
      </c>
      <c r="E62" s="25">
        <f>SUM(E59:E61)</f>
        <v>415.77</v>
      </c>
    </row>
    <row r="63" spans="1:6">
      <c r="A63" s="20"/>
      <c r="B63" s="20"/>
      <c r="C63" s="20"/>
      <c r="D63" s="21"/>
      <c r="E63" s="22"/>
    </row>
    <row r="64" spans="1:6">
      <c r="A64" s="20" t="s">
        <v>13</v>
      </c>
      <c r="B64" s="20" t="s">
        <v>172</v>
      </c>
      <c r="C64" s="20" t="s">
        <v>12</v>
      </c>
      <c r="D64" s="21">
        <v>0.03</v>
      </c>
      <c r="E64" s="22">
        <v>1.24</v>
      </c>
    </row>
    <row r="65" spans="1:6">
      <c r="A65" s="19" t="s">
        <v>7</v>
      </c>
      <c r="B65" s="20"/>
      <c r="C65" s="20"/>
      <c r="D65" s="26">
        <f>SUM(D64:D64)</f>
        <v>0.03</v>
      </c>
      <c r="E65" s="25">
        <f>SUM(E64:E64)</f>
        <v>1.24</v>
      </c>
    </row>
    <row r="66" spans="1:6">
      <c r="A66" s="19"/>
      <c r="B66" s="20"/>
      <c r="C66" s="20"/>
      <c r="D66" s="21"/>
      <c r="E66" s="22"/>
    </row>
    <row r="67" spans="1:6">
      <c r="A67" s="20" t="s">
        <v>331</v>
      </c>
      <c r="B67" s="20">
        <v>100035</v>
      </c>
      <c r="C67" s="20" t="s">
        <v>332</v>
      </c>
      <c r="D67" s="21">
        <v>0.53</v>
      </c>
      <c r="E67" s="22">
        <v>16</v>
      </c>
    </row>
    <row r="68" spans="1:6">
      <c r="A68" s="20" t="s">
        <v>307</v>
      </c>
      <c r="B68" s="20">
        <v>100035</v>
      </c>
      <c r="C68" s="20" t="s">
        <v>332</v>
      </c>
      <c r="D68" s="21">
        <v>2.15</v>
      </c>
      <c r="E68" s="22">
        <v>79.069999999999993</v>
      </c>
    </row>
    <row r="69" spans="1:6">
      <c r="A69" s="19" t="s">
        <v>7</v>
      </c>
      <c r="B69" s="20"/>
      <c r="C69" s="20"/>
      <c r="D69" s="26">
        <f>SUM(D67:D68)</f>
        <v>2.6799999999999997</v>
      </c>
      <c r="E69" s="25">
        <f>SUM(E67:E68)</f>
        <v>95.07</v>
      </c>
    </row>
    <row r="70" spans="1:6">
      <c r="A70" s="19"/>
      <c r="B70" s="20"/>
      <c r="C70" s="20"/>
      <c r="D70" s="21"/>
      <c r="E70" s="22"/>
    </row>
    <row r="71" spans="1:6">
      <c r="A71" s="27" t="s">
        <v>36</v>
      </c>
      <c r="B71" s="27">
        <v>100051</v>
      </c>
      <c r="C71" s="27" t="s">
        <v>34</v>
      </c>
      <c r="D71" s="29">
        <v>10.92</v>
      </c>
      <c r="E71" s="30">
        <v>229.25</v>
      </c>
      <c r="F71" s="31" t="s">
        <v>310</v>
      </c>
    </row>
    <row r="72" spans="1:6">
      <c r="A72" s="27" t="s">
        <v>37</v>
      </c>
      <c r="B72" s="27">
        <v>100051</v>
      </c>
      <c r="C72" s="27" t="s">
        <v>34</v>
      </c>
      <c r="D72" s="29">
        <v>36.43</v>
      </c>
      <c r="E72" s="30">
        <f>71.57+730.7</f>
        <v>802.27</v>
      </c>
      <c r="F72" s="31" t="s">
        <v>310</v>
      </c>
    </row>
    <row r="73" spans="1:6">
      <c r="A73" s="20" t="s">
        <v>201</v>
      </c>
      <c r="B73" s="20">
        <v>100051</v>
      </c>
      <c r="C73" s="20" t="s">
        <v>34</v>
      </c>
      <c r="D73" s="21">
        <v>2</v>
      </c>
      <c r="E73" s="22">
        <v>39</v>
      </c>
    </row>
    <row r="74" spans="1:6">
      <c r="A74" s="19" t="s">
        <v>7</v>
      </c>
      <c r="B74" s="20"/>
      <c r="C74" s="20"/>
      <c r="D74" s="26">
        <f>SUM(D71:D73)</f>
        <v>49.35</v>
      </c>
      <c r="E74" s="25">
        <f>SUM(E71:E73)</f>
        <v>1070.52</v>
      </c>
    </row>
    <row r="75" spans="1:6">
      <c r="A75" s="19"/>
      <c r="B75" s="20"/>
      <c r="C75" s="20"/>
      <c r="D75" s="26"/>
      <c r="E75" s="25"/>
    </row>
    <row r="76" spans="1:6">
      <c r="A76" s="20" t="s">
        <v>16</v>
      </c>
      <c r="B76" s="20">
        <v>290020</v>
      </c>
      <c r="C76" s="20" t="s">
        <v>146</v>
      </c>
      <c r="D76" s="21">
        <v>0.78</v>
      </c>
      <c r="E76" s="22">
        <v>21.47</v>
      </c>
    </row>
    <row r="77" spans="1:6">
      <c r="A77" s="19" t="s">
        <v>7</v>
      </c>
      <c r="B77" s="20"/>
      <c r="C77" s="20"/>
      <c r="D77" s="26">
        <f>SUM(D76)</f>
        <v>0.78</v>
      </c>
      <c r="E77" s="25">
        <f>SUM(E76)</f>
        <v>21.47</v>
      </c>
    </row>
    <row r="78" spans="1:6">
      <c r="A78" s="19"/>
      <c r="B78" s="20"/>
      <c r="C78" s="20"/>
      <c r="D78" s="26"/>
      <c r="E78" s="25"/>
    </row>
    <row r="79" spans="1:6">
      <c r="A79" s="20" t="s">
        <v>95</v>
      </c>
      <c r="B79" s="20" t="s">
        <v>180</v>
      </c>
      <c r="C79" s="20" t="s">
        <v>96</v>
      </c>
      <c r="D79" s="21">
        <v>2.37</v>
      </c>
      <c r="E79" s="22">
        <v>63.86</v>
      </c>
    </row>
    <row r="80" spans="1:6">
      <c r="A80" s="19" t="s">
        <v>7</v>
      </c>
      <c r="B80" s="20"/>
      <c r="C80" s="20"/>
      <c r="D80" s="26">
        <f>SUM(D79)</f>
        <v>2.37</v>
      </c>
      <c r="E80" s="25">
        <f>SUM(E79)</f>
        <v>63.86</v>
      </c>
    </row>
    <row r="81" spans="1:6">
      <c r="A81" s="20"/>
      <c r="B81" s="20"/>
      <c r="C81" s="20"/>
      <c r="D81" s="21"/>
      <c r="E81" s="22"/>
    </row>
    <row r="82" spans="1:6">
      <c r="A82" s="20" t="s">
        <v>244</v>
      </c>
      <c r="B82" s="20">
        <v>400020</v>
      </c>
      <c r="C82" s="20" t="s">
        <v>98</v>
      </c>
      <c r="D82" s="21">
        <v>0.43</v>
      </c>
      <c r="E82" s="22">
        <v>10.4</v>
      </c>
    </row>
    <row r="83" spans="1:6">
      <c r="A83" s="20" t="s">
        <v>97</v>
      </c>
      <c r="B83" s="20" t="s">
        <v>181</v>
      </c>
      <c r="C83" s="20" t="s">
        <v>98</v>
      </c>
      <c r="D83" s="21">
        <v>2.57</v>
      </c>
      <c r="E83" s="22">
        <v>76.27</v>
      </c>
    </row>
    <row r="84" spans="1:6">
      <c r="A84" s="19" t="s">
        <v>7</v>
      </c>
      <c r="B84" s="20"/>
      <c r="C84" s="20"/>
      <c r="D84" s="26">
        <f>SUM(D82:D83)</f>
        <v>3</v>
      </c>
      <c r="E84" s="25">
        <f>SUM(E82:E83)</f>
        <v>86.67</v>
      </c>
    </row>
    <row r="85" spans="1:6">
      <c r="A85" s="20"/>
      <c r="B85" s="20"/>
      <c r="C85" s="20"/>
      <c r="D85" s="21"/>
      <c r="E85" s="22"/>
    </row>
    <row r="86" spans="1:6">
      <c r="A86" s="20" t="s">
        <v>100</v>
      </c>
      <c r="B86" s="20" t="s">
        <v>182</v>
      </c>
      <c r="C86" s="20" t="s">
        <v>101</v>
      </c>
      <c r="D86" s="21">
        <v>0.22</v>
      </c>
      <c r="E86" s="22">
        <v>6.28</v>
      </c>
    </row>
    <row r="87" spans="1:6">
      <c r="A87" s="19" t="s">
        <v>7</v>
      </c>
      <c r="B87" s="20"/>
      <c r="C87" s="20"/>
      <c r="D87" s="26">
        <f>SUM(D86)</f>
        <v>0.22</v>
      </c>
      <c r="E87" s="25">
        <f>SUM(E86)</f>
        <v>6.28</v>
      </c>
    </row>
    <row r="88" spans="1:6">
      <c r="A88" s="19"/>
      <c r="B88" s="20"/>
      <c r="C88" s="20"/>
      <c r="D88" s="26"/>
      <c r="E88" s="25"/>
    </row>
    <row r="89" spans="1:6">
      <c r="A89" s="20" t="s">
        <v>333</v>
      </c>
      <c r="B89" s="20">
        <v>450044</v>
      </c>
      <c r="C89" s="20" t="s">
        <v>134</v>
      </c>
      <c r="D89" s="21">
        <v>0.5</v>
      </c>
      <c r="E89" s="22">
        <v>10.5</v>
      </c>
    </row>
    <row r="90" spans="1:6">
      <c r="A90" s="20" t="s">
        <v>183</v>
      </c>
      <c r="B90" s="20">
        <v>450044</v>
      </c>
      <c r="C90" s="20" t="s">
        <v>134</v>
      </c>
      <c r="D90" s="21">
        <v>0.5</v>
      </c>
      <c r="E90" s="22">
        <v>9</v>
      </c>
    </row>
    <row r="91" spans="1:6">
      <c r="A91" s="19" t="s">
        <v>7</v>
      </c>
      <c r="B91" s="20"/>
      <c r="C91" s="20"/>
      <c r="D91" s="26">
        <f>SUM(D89:D90)</f>
        <v>1</v>
      </c>
      <c r="E91" s="25">
        <f>SUM(E89:E90)</f>
        <v>19.5</v>
      </c>
    </row>
    <row r="92" spans="1:6">
      <c r="A92" s="19"/>
      <c r="B92" s="20"/>
      <c r="C92" s="20"/>
      <c r="D92" s="26"/>
      <c r="E92" s="25"/>
    </row>
    <row r="93" spans="1:6">
      <c r="A93" s="32" t="s">
        <v>119</v>
      </c>
      <c r="B93" s="32">
        <v>450051</v>
      </c>
      <c r="C93" s="32" t="s">
        <v>279</v>
      </c>
      <c r="D93" s="33">
        <v>5</v>
      </c>
      <c r="E93" s="34">
        <v>81.680000000000007</v>
      </c>
      <c r="F93" s="31" t="s">
        <v>310</v>
      </c>
    </row>
    <row r="94" spans="1:6">
      <c r="A94" s="32" t="s">
        <v>118</v>
      </c>
      <c r="B94" s="32">
        <v>450051</v>
      </c>
      <c r="C94" s="32" t="s">
        <v>279</v>
      </c>
      <c r="D94" s="33">
        <v>5</v>
      </c>
      <c r="E94" s="34">
        <v>112.5</v>
      </c>
      <c r="F94" s="31" t="s">
        <v>310</v>
      </c>
    </row>
    <row r="95" spans="1:6">
      <c r="A95" s="19" t="s">
        <v>7</v>
      </c>
      <c r="B95" s="20"/>
      <c r="C95" s="20"/>
      <c r="D95" s="26">
        <f>SUM(D93:D94)</f>
        <v>10</v>
      </c>
      <c r="E95" s="25">
        <f>SUM(E93:E94)</f>
        <v>194.18</v>
      </c>
    </row>
    <row r="96" spans="1:6">
      <c r="A96" s="19"/>
      <c r="B96" s="20"/>
      <c r="C96" s="20"/>
      <c r="D96" s="21"/>
      <c r="E96" s="22"/>
    </row>
    <row r="97" spans="1:5">
      <c r="A97" s="19" t="s">
        <v>194</v>
      </c>
      <c r="B97" s="20"/>
      <c r="C97" s="20"/>
      <c r="D97" s="26">
        <f>D95+D91+D87+D84+D80+D77+D74+D69+D65+D62+D56+D53+D47+D43+D39+D19+D15+D12+D8+D5</f>
        <v>435.03000000000009</v>
      </c>
      <c r="E97" s="25">
        <f>E95+E91+E87+E84+E80+E77+E74+E69+E65+E62+E56+E53+E47+E43+E39+E19+E15+E12+E8+E5</f>
        <v>9161.42</v>
      </c>
    </row>
    <row r="98" spans="1:5">
      <c r="A98" s="20"/>
      <c r="B98" s="20"/>
      <c r="C98" s="20"/>
      <c r="D98" s="21"/>
      <c r="E98" s="22"/>
    </row>
    <row r="99" spans="1:5">
      <c r="A99" s="19"/>
      <c r="B99" s="20"/>
      <c r="C99" s="20"/>
      <c r="D99" s="26"/>
      <c r="E99" s="25"/>
    </row>
    <row r="100" spans="1:5">
      <c r="A100" s="20"/>
      <c r="B100" s="20"/>
      <c r="C100" s="20"/>
      <c r="D100" s="21"/>
      <c r="E100" s="22"/>
    </row>
    <row r="101" spans="1:5">
      <c r="A101" s="20"/>
      <c r="B101" s="20"/>
      <c r="C101" s="20"/>
      <c r="D101" s="21"/>
      <c r="E101" s="22"/>
    </row>
    <row r="102" spans="1:5">
      <c r="A102" s="19"/>
      <c r="B102" s="20"/>
      <c r="C102" s="20"/>
      <c r="D102" s="26"/>
      <c r="E102" s="25"/>
    </row>
    <row r="103" spans="1:5">
      <c r="A103" s="19"/>
      <c r="B103" s="20"/>
      <c r="C103" s="20"/>
      <c r="D103" s="26"/>
      <c r="E103" s="25"/>
    </row>
    <row r="104" spans="1:5">
      <c r="A104" s="20"/>
      <c r="B104" s="20"/>
      <c r="C104" s="20"/>
      <c r="D104" s="21"/>
      <c r="E104" s="22"/>
    </row>
    <row r="105" spans="1:5">
      <c r="A105" s="19"/>
      <c r="B105" s="20"/>
      <c r="C105" s="20"/>
      <c r="D105" s="26"/>
      <c r="E105" s="25"/>
    </row>
    <row r="106" spans="1:5">
      <c r="A106" s="19"/>
      <c r="B106" s="20"/>
      <c r="C106" s="20"/>
      <c r="D106" s="26"/>
      <c r="E106" s="25"/>
    </row>
    <row r="107" spans="1:5">
      <c r="A107" s="20"/>
      <c r="B107" s="20"/>
      <c r="C107" s="20"/>
      <c r="D107" s="21"/>
      <c r="E107" s="22"/>
    </row>
    <row r="108" spans="1:5">
      <c r="A108" s="19"/>
      <c r="B108" s="20"/>
      <c r="C108" s="20"/>
      <c r="D108" s="26"/>
      <c r="E108" s="25"/>
    </row>
    <row r="109" spans="1:5">
      <c r="A109" s="19"/>
      <c r="B109" s="20"/>
      <c r="C109" s="20"/>
      <c r="D109" s="26"/>
      <c r="E109" s="25"/>
    </row>
    <row r="110" spans="1:5">
      <c r="A110" s="20"/>
      <c r="B110" s="20"/>
      <c r="C110" s="20"/>
      <c r="D110" s="21"/>
      <c r="E110" s="22"/>
    </row>
    <row r="111" spans="1:5">
      <c r="A111" s="20"/>
      <c r="B111" s="20"/>
      <c r="C111" s="20"/>
      <c r="D111" s="21"/>
      <c r="E111" s="22"/>
    </row>
    <row r="112" spans="1:5">
      <c r="A112" s="19"/>
      <c r="B112" s="20"/>
      <c r="C112" s="20"/>
      <c r="D112" s="26"/>
      <c r="E112" s="25"/>
    </row>
    <row r="113" spans="1:5">
      <c r="A113" s="19"/>
      <c r="B113" s="20"/>
      <c r="C113" s="20"/>
      <c r="D113" s="21"/>
      <c r="E113" s="22"/>
    </row>
    <row r="114" spans="1:5">
      <c r="A114" s="19"/>
      <c r="B114" s="20"/>
      <c r="C114" s="20"/>
      <c r="D114" s="26"/>
      <c r="E114" s="26"/>
    </row>
    <row r="115" spans="1:5">
      <c r="A115" s="20"/>
      <c r="B115" s="20"/>
      <c r="C115" s="20"/>
      <c r="D115" s="26"/>
      <c r="E115" s="25"/>
    </row>
    <row r="116" spans="1:5">
      <c r="A116" s="20"/>
      <c r="B116" s="20"/>
      <c r="C116" s="20"/>
      <c r="D116" s="20"/>
      <c r="E116" s="20"/>
    </row>
    <row r="117" spans="1:5">
      <c r="A117" s="20"/>
      <c r="B117" s="20"/>
      <c r="C117" s="20"/>
      <c r="D117" s="20"/>
      <c r="E117" s="20"/>
    </row>
    <row r="118" spans="1:5">
      <c r="A118" s="20"/>
      <c r="B118" s="20"/>
      <c r="C118" s="20"/>
      <c r="D118" s="20"/>
      <c r="E118" s="20"/>
    </row>
    <row r="119" spans="1:5">
      <c r="A119" s="20"/>
      <c r="B119" s="20"/>
      <c r="C119" s="20"/>
      <c r="D119" s="20"/>
      <c r="E119" s="20"/>
    </row>
    <row r="120" spans="1:5">
      <c r="A120" s="20"/>
      <c r="B120" s="20"/>
      <c r="C120" s="20"/>
      <c r="D120" s="20"/>
      <c r="E120" s="20"/>
    </row>
    <row r="121" spans="1:5">
      <c r="A121" s="20"/>
      <c r="B121" s="20"/>
      <c r="C121" s="20"/>
      <c r="D121" s="20"/>
      <c r="E121" s="20"/>
    </row>
    <row r="122" spans="1:5">
      <c r="A122" s="20"/>
      <c r="B122" s="20"/>
      <c r="C122" s="20"/>
      <c r="D122" s="20"/>
      <c r="E122" s="20"/>
    </row>
    <row r="123" spans="1:5">
      <c r="A123" s="20"/>
      <c r="B123" s="20"/>
      <c r="C123" s="20"/>
      <c r="D123" s="20"/>
      <c r="E123" s="20"/>
    </row>
    <row r="124" spans="1:5">
      <c r="A124" s="20"/>
      <c r="B124" s="20"/>
      <c r="C124" s="20"/>
      <c r="D124" s="20"/>
      <c r="E124" s="20"/>
    </row>
    <row r="125" spans="1:5">
      <c r="A125" s="20"/>
      <c r="B125" s="20"/>
      <c r="C125" s="20"/>
      <c r="D125" s="20"/>
      <c r="E125" s="20"/>
    </row>
    <row r="126" spans="1:5">
      <c r="A126" s="20"/>
      <c r="B126" s="20"/>
      <c r="C126" s="20"/>
      <c r="D126" s="20"/>
      <c r="E126" s="20"/>
    </row>
    <row r="127" spans="1:5">
      <c r="A127" s="20"/>
      <c r="B127" s="20"/>
      <c r="C127" s="20"/>
      <c r="D127" s="20"/>
      <c r="E127" s="20"/>
    </row>
    <row r="128" spans="1:5">
      <c r="A128" s="20"/>
      <c r="B128" s="20"/>
      <c r="C128" s="20"/>
      <c r="D128" s="20"/>
      <c r="E128" s="20"/>
    </row>
    <row r="129" spans="1:5">
      <c r="A129" s="20"/>
      <c r="B129" s="20"/>
      <c r="C129" s="20"/>
      <c r="D129" s="20"/>
      <c r="E129" s="20"/>
    </row>
    <row r="130" spans="1:5">
      <c r="A130" s="20"/>
      <c r="B130" s="20"/>
      <c r="C130" s="20"/>
      <c r="D130" s="20"/>
      <c r="E130" s="20"/>
    </row>
    <row r="131" spans="1:5">
      <c r="A131" s="20"/>
      <c r="B131" s="20"/>
      <c r="C131" s="20"/>
      <c r="D131" s="20"/>
      <c r="E131" s="20"/>
    </row>
    <row r="132" spans="1:5">
      <c r="A132" s="20"/>
      <c r="B132" s="20"/>
      <c r="C132" s="20"/>
      <c r="D132" s="20"/>
      <c r="E132" s="20"/>
    </row>
    <row r="133" spans="1:5">
      <c r="A133" s="20"/>
      <c r="B133" s="20"/>
      <c r="C133" s="20"/>
      <c r="D133" s="20"/>
      <c r="E133" s="20"/>
    </row>
  </sheetData>
  <mergeCells count="1">
    <mergeCell ref="G4:I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89"/>
  <sheetViews>
    <sheetView workbookViewId="0">
      <selection activeCell="H1" sqref="H1"/>
    </sheetView>
  </sheetViews>
  <sheetFormatPr defaultRowHeight="12.75"/>
  <cols>
    <col min="1" max="1" width="22.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18.140625" style="18" bestFit="1" customWidth="1"/>
    <col min="7" max="7" width="21.42578125" style="18" customWidth="1"/>
    <col min="8" max="8" width="21.5703125" style="18" customWidth="1"/>
    <col min="9" max="9" width="17.28515625" style="18" bestFit="1" customWidth="1"/>
    <col min="10" max="16384" width="9.140625" style="18"/>
  </cols>
  <sheetData>
    <row r="1" spans="1:9">
      <c r="A1" s="19" t="s">
        <v>147</v>
      </c>
      <c r="B1" s="19" t="s">
        <v>148</v>
      </c>
      <c r="C1" s="19" t="s">
        <v>149</v>
      </c>
      <c r="D1" s="19" t="s">
        <v>150</v>
      </c>
      <c r="E1" s="19" t="s">
        <v>151</v>
      </c>
      <c r="F1" s="11" t="s">
        <v>258</v>
      </c>
      <c r="G1" s="38" t="s">
        <v>259</v>
      </c>
      <c r="H1" s="42" t="s">
        <v>262</v>
      </c>
      <c r="I1" s="88" t="s">
        <v>334</v>
      </c>
    </row>
    <row r="2" spans="1:9">
      <c r="A2" s="20" t="s">
        <v>20</v>
      </c>
      <c r="B2" s="20" t="s">
        <v>152</v>
      </c>
      <c r="C2" s="20" t="s">
        <v>15</v>
      </c>
      <c r="D2" s="21">
        <v>0.43</v>
      </c>
      <c r="E2" s="22">
        <v>11.38</v>
      </c>
      <c r="G2" s="13">
        <f>E18+E22+E23+E24+E25+E26+E27+E28+E29+E30+E31+E32+E33+E34+E36+E37+E38+E39+E41+E42+E45+E46+E49+E50+E51+E54+E58+E59+E77+E78</f>
        <v>9130.1099999999988</v>
      </c>
      <c r="H2" s="43">
        <f>E68</f>
        <v>143.5</v>
      </c>
      <c r="I2" s="89">
        <f>E4</f>
        <v>158.21</v>
      </c>
    </row>
    <row r="3" spans="1:9">
      <c r="A3" s="20" t="s">
        <v>18</v>
      </c>
      <c r="B3" s="20" t="s">
        <v>152</v>
      </c>
      <c r="C3" s="20" t="s">
        <v>15</v>
      </c>
      <c r="D3" s="21">
        <v>0.8</v>
      </c>
      <c r="E3" s="22">
        <v>22.27</v>
      </c>
      <c r="G3"/>
      <c r="H3"/>
    </row>
    <row r="4" spans="1:9">
      <c r="A4" s="80" t="s">
        <v>19</v>
      </c>
      <c r="B4" s="81" t="s">
        <v>152</v>
      </c>
      <c r="C4" s="80" t="s">
        <v>15</v>
      </c>
      <c r="D4" s="82">
        <v>5.3</v>
      </c>
      <c r="E4" s="83">
        <v>158.21</v>
      </c>
      <c r="F4" s="18" t="s">
        <v>322</v>
      </c>
      <c r="G4" s="305" t="s">
        <v>263</v>
      </c>
      <c r="H4" s="306"/>
      <c r="I4" s="306"/>
    </row>
    <row r="5" spans="1:9">
      <c r="A5" s="19" t="s">
        <v>7</v>
      </c>
      <c r="B5" s="20"/>
      <c r="C5" s="20"/>
      <c r="D5" s="24">
        <f>SUM(D2:D4)</f>
        <v>6.5299999999999994</v>
      </c>
      <c r="E5" s="25">
        <f>SUM(E2:E4)</f>
        <v>191.86</v>
      </c>
    </row>
    <row r="6" spans="1:9">
      <c r="A6" s="19"/>
      <c r="B6" s="20"/>
      <c r="C6" s="20"/>
      <c r="D6" s="24"/>
      <c r="E6" s="25"/>
    </row>
    <row r="7" spans="1:9">
      <c r="A7" s="20" t="s">
        <v>309</v>
      </c>
      <c r="B7" s="23" t="s">
        <v>217</v>
      </c>
      <c r="C7" s="20" t="s">
        <v>218</v>
      </c>
      <c r="D7" s="55">
        <v>0.8</v>
      </c>
      <c r="E7" s="22">
        <v>19.5</v>
      </c>
    </row>
    <row r="8" spans="1:9">
      <c r="A8" s="19" t="s">
        <v>7</v>
      </c>
      <c r="B8" s="20"/>
      <c r="C8" s="20"/>
      <c r="D8" s="24">
        <f>SUM(D7:D7)</f>
        <v>0.8</v>
      </c>
      <c r="E8" s="25">
        <f>SUM(E7:E7)</f>
        <v>19.5</v>
      </c>
    </row>
    <row r="9" spans="1:9">
      <c r="A9" s="19"/>
      <c r="B9" s="20"/>
      <c r="C9" s="20"/>
      <c r="D9" s="26"/>
      <c r="E9" s="25"/>
    </row>
    <row r="10" spans="1:9">
      <c r="A10" s="20" t="s">
        <v>30</v>
      </c>
      <c r="B10" s="20" t="s">
        <v>155</v>
      </c>
      <c r="C10" s="20" t="s">
        <v>31</v>
      </c>
      <c r="D10" s="21">
        <v>0.25</v>
      </c>
      <c r="E10" s="22">
        <v>6.57</v>
      </c>
    </row>
    <row r="11" spans="1:9">
      <c r="A11" s="20" t="s">
        <v>195</v>
      </c>
      <c r="B11" s="23" t="s">
        <v>155</v>
      </c>
      <c r="C11" s="20" t="s">
        <v>196</v>
      </c>
      <c r="D11" s="21">
        <v>0.6</v>
      </c>
      <c r="E11" s="22">
        <v>18</v>
      </c>
    </row>
    <row r="12" spans="1:9">
      <c r="A12" s="19" t="s">
        <v>7</v>
      </c>
      <c r="B12" s="20"/>
      <c r="C12" s="20"/>
      <c r="D12" s="26">
        <f>SUM(D10:D11)</f>
        <v>0.85</v>
      </c>
      <c r="E12" s="25">
        <f>SUM(E10:E11)</f>
        <v>24.57</v>
      </c>
    </row>
    <row r="13" spans="1:9">
      <c r="A13" s="19"/>
      <c r="B13" s="20"/>
      <c r="C13" s="20"/>
      <c r="D13" s="26"/>
      <c r="E13" s="25"/>
    </row>
    <row r="14" spans="1:9">
      <c r="A14" s="20" t="s">
        <v>317</v>
      </c>
      <c r="B14" s="23" t="s">
        <v>198</v>
      </c>
      <c r="C14" s="20" t="s">
        <v>199</v>
      </c>
      <c r="D14" s="21">
        <v>2.6</v>
      </c>
      <c r="E14" s="22">
        <v>64.349999999999994</v>
      </c>
    </row>
    <row r="15" spans="1:9">
      <c r="A15" s="20" t="s">
        <v>160</v>
      </c>
      <c r="B15" s="23" t="s">
        <v>198</v>
      </c>
      <c r="C15" s="20" t="s">
        <v>199</v>
      </c>
      <c r="D15" s="21">
        <v>1.1299999999999999</v>
      </c>
      <c r="E15" s="22">
        <v>25.5</v>
      </c>
    </row>
    <row r="16" spans="1:9">
      <c r="A16" s="19" t="s">
        <v>7</v>
      </c>
      <c r="B16" s="20"/>
      <c r="C16" s="20"/>
      <c r="D16" s="26">
        <f>SUM(D14:D15)</f>
        <v>3.73</v>
      </c>
      <c r="E16" s="25">
        <f>SUM(E14:E15)</f>
        <v>89.85</v>
      </c>
    </row>
    <row r="17" spans="1:6">
      <c r="A17" s="19"/>
      <c r="B17" s="20"/>
      <c r="C17" s="20"/>
      <c r="D17" s="26"/>
      <c r="E17" s="25"/>
    </row>
    <row r="18" spans="1:6">
      <c r="A18" s="27" t="s">
        <v>14</v>
      </c>
      <c r="B18" s="28" t="s">
        <v>156</v>
      </c>
      <c r="C18" s="27" t="s">
        <v>91</v>
      </c>
      <c r="D18" s="29">
        <v>6.83</v>
      </c>
      <c r="E18" s="30">
        <v>178.55</v>
      </c>
      <c r="F18" s="31" t="s">
        <v>310</v>
      </c>
    </row>
    <row r="19" spans="1:6">
      <c r="A19" s="20" t="s">
        <v>335</v>
      </c>
      <c r="B19" s="23" t="s">
        <v>156</v>
      </c>
      <c r="C19" s="20" t="s">
        <v>91</v>
      </c>
      <c r="D19" s="21">
        <v>0.93</v>
      </c>
      <c r="E19" s="22">
        <v>25.9</v>
      </c>
    </row>
    <row r="20" spans="1:6">
      <c r="A20" s="19" t="s">
        <v>7</v>
      </c>
      <c r="B20" s="20"/>
      <c r="C20" s="20"/>
      <c r="D20" s="26">
        <f>SUM(D18:D19)</f>
        <v>7.76</v>
      </c>
      <c r="E20" s="25">
        <f>SUM(E18:E19)</f>
        <v>204.45000000000002</v>
      </c>
    </row>
    <row r="21" spans="1:6">
      <c r="A21" s="20"/>
      <c r="B21" s="20"/>
      <c r="C21" s="20"/>
      <c r="D21" s="21"/>
      <c r="E21" s="22"/>
    </row>
    <row r="22" spans="1:6">
      <c r="A22" s="27" t="s">
        <v>336</v>
      </c>
      <c r="B22" s="28" t="s">
        <v>157</v>
      </c>
      <c r="C22" s="27" t="s">
        <v>66</v>
      </c>
      <c r="D22" s="29">
        <v>15.13</v>
      </c>
      <c r="E22" s="30">
        <v>283.75</v>
      </c>
      <c r="F22" s="31" t="s">
        <v>310</v>
      </c>
    </row>
    <row r="23" spans="1:6">
      <c r="A23" s="27" t="s">
        <v>266</v>
      </c>
      <c r="B23" s="28" t="s">
        <v>157</v>
      </c>
      <c r="C23" s="27" t="s">
        <v>66</v>
      </c>
      <c r="D23" s="29">
        <v>6.73</v>
      </c>
      <c r="E23" s="30">
        <v>131.30000000000001</v>
      </c>
      <c r="F23" s="31" t="s">
        <v>310</v>
      </c>
    </row>
    <row r="24" spans="1:6">
      <c r="A24" s="27" t="s">
        <v>290</v>
      </c>
      <c r="B24" s="28" t="s">
        <v>157</v>
      </c>
      <c r="C24" s="27" t="s">
        <v>66</v>
      </c>
      <c r="D24" s="29">
        <v>16.3</v>
      </c>
      <c r="E24" s="30">
        <v>317.85000000000002</v>
      </c>
      <c r="F24" s="31" t="s">
        <v>310</v>
      </c>
    </row>
    <row r="25" spans="1:6">
      <c r="A25" s="27" t="s">
        <v>320</v>
      </c>
      <c r="B25" s="28" t="s">
        <v>157</v>
      </c>
      <c r="C25" s="27" t="s">
        <v>66</v>
      </c>
      <c r="D25" s="29">
        <v>9.68</v>
      </c>
      <c r="E25" s="30">
        <v>181.56</v>
      </c>
      <c r="F25" s="31" t="s">
        <v>310</v>
      </c>
    </row>
    <row r="26" spans="1:6">
      <c r="A26" s="27" t="s">
        <v>321</v>
      </c>
      <c r="B26" s="28" t="s">
        <v>157</v>
      </c>
      <c r="C26" s="27" t="s">
        <v>66</v>
      </c>
      <c r="D26" s="29">
        <v>12.95</v>
      </c>
      <c r="E26" s="30">
        <v>252.53</v>
      </c>
      <c r="F26" s="31" t="s">
        <v>310</v>
      </c>
    </row>
    <row r="27" spans="1:6">
      <c r="A27" s="27" t="s">
        <v>175</v>
      </c>
      <c r="B27" s="28" t="s">
        <v>157</v>
      </c>
      <c r="C27" s="27" t="s">
        <v>66</v>
      </c>
      <c r="D27" s="29">
        <v>14</v>
      </c>
      <c r="E27" s="30">
        <v>252</v>
      </c>
      <c r="F27" s="31" t="s">
        <v>310</v>
      </c>
    </row>
    <row r="28" spans="1:6">
      <c r="A28" s="27" t="s">
        <v>228</v>
      </c>
      <c r="B28" s="28" t="s">
        <v>157</v>
      </c>
      <c r="C28" s="27" t="s">
        <v>66</v>
      </c>
      <c r="D28" s="29">
        <v>19.48</v>
      </c>
      <c r="E28" s="30">
        <v>379.93</v>
      </c>
      <c r="F28" s="31" t="s">
        <v>310</v>
      </c>
    </row>
    <row r="29" spans="1:6">
      <c r="A29" s="27" t="s">
        <v>210</v>
      </c>
      <c r="B29" s="28" t="s">
        <v>157</v>
      </c>
      <c r="C29" s="27" t="s">
        <v>66</v>
      </c>
      <c r="D29" s="27">
        <v>14.1</v>
      </c>
      <c r="E29" s="30">
        <v>275.55</v>
      </c>
      <c r="F29" s="31" t="s">
        <v>310</v>
      </c>
    </row>
    <row r="30" spans="1:6">
      <c r="A30" s="27" t="s">
        <v>89</v>
      </c>
      <c r="B30" s="28" t="s">
        <v>157</v>
      </c>
      <c r="C30" s="27" t="s">
        <v>66</v>
      </c>
      <c r="D30" s="27">
        <v>26.88</v>
      </c>
      <c r="E30" s="30">
        <v>524.23</v>
      </c>
      <c r="F30" s="31" t="s">
        <v>310</v>
      </c>
    </row>
    <row r="31" spans="1:6">
      <c r="A31" s="27" t="s">
        <v>237</v>
      </c>
      <c r="B31" s="28" t="s">
        <v>157</v>
      </c>
      <c r="C31" s="27" t="s">
        <v>66</v>
      </c>
      <c r="D31" s="27">
        <v>39.08</v>
      </c>
      <c r="E31" s="30">
        <v>762.13</v>
      </c>
      <c r="F31" s="31" t="s">
        <v>310</v>
      </c>
    </row>
    <row r="32" spans="1:6">
      <c r="A32" s="27" t="s">
        <v>86</v>
      </c>
      <c r="B32" s="28" t="s">
        <v>157</v>
      </c>
      <c r="C32" s="27" t="s">
        <v>66</v>
      </c>
      <c r="D32" s="27">
        <v>4.28</v>
      </c>
      <c r="E32" s="30">
        <v>93.16</v>
      </c>
      <c r="F32" s="31" t="s">
        <v>310</v>
      </c>
    </row>
    <row r="33" spans="1:6">
      <c r="A33" s="27" t="s">
        <v>292</v>
      </c>
      <c r="B33" s="28" t="s">
        <v>157</v>
      </c>
      <c r="C33" s="27" t="s">
        <v>66</v>
      </c>
      <c r="D33" s="27">
        <v>11.43</v>
      </c>
      <c r="E33" s="30">
        <v>222.95</v>
      </c>
      <c r="F33" s="31" t="s">
        <v>310</v>
      </c>
    </row>
    <row r="34" spans="1:6">
      <c r="A34" s="27" t="s">
        <v>327</v>
      </c>
      <c r="B34" s="28" t="s">
        <v>157</v>
      </c>
      <c r="C34" s="27" t="s">
        <v>66</v>
      </c>
      <c r="D34" s="27">
        <v>18.899999999999999</v>
      </c>
      <c r="E34" s="30">
        <v>354.38</v>
      </c>
      <c r="F34" s="31" t="s">
        <v>310</v>
      </c>
    </row>
    <row r="35" spans="1:6">
      <c r="A35" s="20" t="s">
        <v>299</v>
      </c>
      <c r="B35" s="23" t="s">
        <v>157</v>
      </c>
      <c r="C35" s="20" t="s">
        <v>66</v>
      </c>
      <c r="D35" s="20">
        <v>1.83</v>
      </c>
      <c r="E35" s="22">
        <v>33</v>
      </c>
    </row>
    <row r="36" spans="1:6">
      <c r="A36" s="27" t="s">
        <v>337</v>
      </c>
      <c r="B36" s="28" t="s">
        <v>157</v>
      </c>
      <c r="C36" s="27" t="s">
        <v>66</v>
      </c>
      <c r="D36" s="27">
        <v>4.87</v>
      </c>
      <c r="E36" s="30">
        <v>116.51</v>
      </c>
      <c r="F36" s="31" t="s">
        <v>310</v>
      </c>
    </row>
    <row r="37" spans="1:6">
      <c r="A37" s="27" t="s">
        <v>159</v>
      </c>
      <c r="B37" s="28" t="s">
        <v>157</v>
      </c>
      <c r="C37" s="27" t="s">
        <v>66</v>
      </c>
      <c r="D37" s="27">
        <v>29.92</v>
      </c>
      <c r="E37" s="30">
        <v>583.38</v>
      </c>
      <c r="F37" s="31" t="s">
        <v>310</v>
      </c>
    </row>
    <row r="38" spans="1:6">
      <c r="A38" s="27" t="s">
        <v>88</v>
      </c>
      <c r="B38" s="28" t="s">
        <v>157</v>
      </c>
      <c r="C38" s="27" t="s">
        <v>66</v>
      </c>
      <c r="D38" s="27">
        <v>13.25</v>
      </c>
      <c r="E38" s="30">
        <v>268.31</v>
      </c>
      <c r="F38" s="31" t="s">
        <v>310</v>
      </c>
    </row>
    <row r="39" spans="1:6">
      <c r="A39" s="27" t="s">
        <v>328</v>
      </c>
      <c r="B39" s="28" t="s">
        <v>157</v>
      </c>
      <c r="C39" s="27" t="s">
        <v>66</v>
      </c>
      <c r="D39" s="27">
        <v>6.85</v>
      </c>
      <c r="E39" s="30">
        <v>154.13</v>
      </c>
      <c r="F39" s="31" t="s">
        <v>310</v>
      </c>
    </row>
    <row r="40" spans="1:6">
      <c r="A40" s="20" t="s">
        <v>79</v>
      </c>
      <c r="B40" s="23" t="s">
        <v>157</v>
      </c>
      <c r="C40" s="20" t="s">
        <v>66</v>
      </c>
      <c r="D40" s="20">
        <v>2.27</v>
      </c>
      <c r="E40" s="22">
        <v>52.7</v>
      </c>
    </row>
    <row r="41" spans="1:6">
      <c r="A41" s="27" t="s">
        <v>161</v>
      </c>
      <c r="B41" s="28" t="s">
        <v>157</v>
      </c>
      <c r="C41" s="27" t="s">
        <v>66</v>
      </c>
      <c r="D41" s="27">
        <v>16.329999999999998</v>
      </c>
      <c r="E41" s="30">
        <v>318.5</v>
      </c>
      <c r="F41" s="31" t="s">
        <v>310</v>
      </c>
    </row>
    <row r="42" spans="1:6">
      <c r="A42" s="27" t="s">
        <v>338</v>
      </c>
      <c r="B42" s="28" t="s">
        <v>157</v>
      </c>
      <c r="C42" s="27" t="s">
        <v>66</v>
      </c>
      <c r="D42" s="27">
        <v>5.93</v>
      </c>
      <c r="E42" s="30">
        <v>115.7</v>
      </c>
      <c r="F42" s="31" t="s">
        <v>310</v>
      </c>
    </row>
    <row r="43" spans="1:6">
      <c r="A43" s="19" t="s">
        <v>7</v>
      </c>
      <c r="B43" s="20"/>
      <c r="C43" s="20"/>
      <c r="D43" s="26">
        <f>SUM(D22:D42)</f>
        <v>290.19</v>
      </c>
      <c r="E43" s="25">
        <f>SUM(E22:E42)</f>
        <v>5673.55</v>
      </c>
    </row>
    <row r="44" spans="1:6">
      <c r="A44" s="19"/>
      <c r="B44" s="20"/>
      <c r="C44" s="20"/>
      <c r="D44" s="26"/>
      <c r="E44" s="25"/>
    </row>
    <row r="45" spans="1:6">
      <c r="A45" s="27" t="s">
        <v>52</v>
      </c>
      <c r="B45" s="28" t="s">
        <v>162</v>
      </c>
      <c r="C45" s="27" t="s">
        <v>51</v>
      </c>
      <c r="D45" s="29">
        <v>21.37</v>
      </c>
      <c r="E45" s="30">
        <v>480.75</v>
      </c>
      <c r="F45" s="31" t="s">
        <v>310</v>
      </c>
    </row>
    <row r="46" spans="1:6">
      <c r="A46" s="27" t="s">
        <v>163</v>
      </c>
      <c r="B46" s="28" t="s">
        <v>162</v>
      </c>
      <c r="C46" s="27" t="s">
        <v>51</v>
      </c>
      <c r="D46" s="29">
        <f>26.77+2</f>
        <v>28.77</v>
      </c>
      <c r="E46" s="30">
        <f>642.4+48</f>
        <v>690.4</v>
      </c>
      <c r="F46" s="31" t="s">
        <v>310</v>
      </c>
    </row>
    <row r="47" spans="1:6">
      <c r="A47" s="19" t="s">
        <v>7</v>
      </c>
      <c r="B47" s="20"/>
      <c r="C47" s="20"/>
      <c r="D47" s="26">
        <f>SUM(D45:D46)</f>
        <v>50.14</v>
      </c>
      <c r="E47" s="25">
        <f>SUM(E45:E46)</f>
        <v>1171.1500000000001</v>
      </c>
    </row>
    <row r="48" spans="1:6">
      <c r="A48" s="19"/>
      <c r="B48" s="20"/>
      <c r="C48" s="20"/>
      <c r="D48" s="26"/>
      <c r="E48" s="25"/>
    </row>
    <row r="49" spans="1:6">
      <c r="A49" s="27" t="s">
        <v>84</v>
      </c>
      <c r="B49" s="28" t="s">
        <v>164</v>
      </c>
      <c r="C49" s="27" t="s">
        <v>60</v>
      </c>
      <c r="D49" s="29">
        <v>6.05</v>
      </c>
      <c r="E49" s="30">
        <v>117.98</v>
      </c>
      <c r="F49" s="31" t="s">
        <v>310</v>
      </c>
    </row>
    <row r="50" spans="1:6">
      <c r="A50" s="27" t="s">
        <v>64</v>
      </c>
      <c r="B50" s="28" t="s">
        <v>164</v>
      </c>
      <c r="C50" s="27" t="s">
        <v>60</v>
      </c>
      <c r="D50" s="29">
        <f>19.75+5.33</f>
        <v>25.08</v>
      </c>
      <c r="E50" s="30">
        <f>355.5+96</f>
        <v>451.5</v>
      </c>
      <c r="F50" s="31" t="s">
        <v>310</v>
      </c>
    </row>
    <row r="51" spans="1:6">
      <c r="A51" s="27" t="s">
        <v>329</v>
      </c>
      <c r="B51" s="28" t="s">
        <v>164</v>
      </c>
      <c r="C51" s="27" t="s">
        <v>60</v>
      </c>
      <c r="D51" s="29">
        <v>6.78</v>
      </c>
      <c r="E51" s="30">
        <v>183.15</v>
      </c>
      <c r="F51" s="31" t="s">
        <v>310</v>
      </c>
    </row>
    <row r="52" spans="1:6">
      <c r="A52" s="19" t="s">
        <v>7</v>
      </c>
      <c r="B52" s="20"/>
      <c r="C52" s="20"/>
      <c r="D52" s="26">
        <f>SUM(D49:D51)</f>
        <v>37.909999999999997</v>
      </c>
      <c r="E52" s="25">
        <f>SUM(E49:E51)</f>
        <v>752.63</v>
      </c>
    </row>
    <row r="53" spans="1:6">
      <c r="A53" s="19"/>
      <c r="B53" s="20"/>
      <c r="C53" s="20"/>
      <c r="D53" s="26"/>
      <c r="E53" s="25"/>
    </row>
    <row r="54" spans="1:6">
      <c r="A54" s="27" t="s">
        <v>339</v>
      </c>
      <c r="B54" s="28" t="s">
        <v>165</v>
      </c>
      <c r="C54" s="27" t="s">
        <v>45</v>
      </c>
      <c r="D54" s="29">
        <v>5.25</v>
      </c>
      <c r="E54" s="30">
        <v>102.38</v>
      </c>
      <c r="F54" s="31" t="s">
        <v>310</v>
      </c>
    </row>
    <row r="55" spans="1:6">
      <c r="A55" s="19" t="s">
        <v>7</v>
      </c>
      <c r="B55" s="20"/>
      <c r="C55" s="20"/>
      <c r="D55" s="26">
        <v>5.25</v>
      </c>
      <c r="E55" s="25">
        <v>102.38</v>
      </c>
    </row>
    <row r="56" spans="1:6">
      <c r="A56" s="19"/>
      <c r="B56" s="20"/>
      <c r="C56" s="20"/>
      <c r="D56" s="26"/>
      <c r="E56" s="25"/>
    </row>
    <row r="57" spans="1:6">
      <c r="A57" s="20" t="s">
        <v>166</v>
      </c>
      <c r="B57" s="23" t="s">
        <v>167</v>
      </c>
      <c r="C57" s="20" t="s">
        <v>54</v>
      </c>
      <c r="D57" s="21">
        <v>2.52</v>
      </c>
      <c r="E57" s="22">
        <v>56.63</v>
      </c>
    </row>
    <row r="58" spans="1:6">
      <c r="A58" s="27" t="s">
        <v>253</v>
      </c>
      <c r="B58" s="28" t="s">
        <v>167</v>
      </c>
      <c r="C58" s="27" t="s">
        <v>54</v>
      </c>
      <c r="D58" s="29">
        <v>26.27</v>
      </c>
      <c r="E58" s="30">
        <v>551.6</v>
      </c>
      <c r="F58" s="31" t="s">
        <v>310</v>
      </c>
    </row>
    <row r="59" spans="1:6">
      <c r="A59" s="27" t="s">
        <v>270</v>
      </c>
      <c r="B59" s="28" t="s">
        <v>167</v>
      </c>
      <c r="C59" s="27" t="s">
        <v>54</v>
      </c>
      <c r="D59" s="29">
        <v>6.65</v>
      </c>
      <c r="E59" s="30">
        <v>179.55</v>
      </c>
      <c r="F59" s="31" t="s">
        <v>310</v>
      </c>
    </row>
    <row r="60" spans="1:6">
      <c r="A60" s="19" t="s">
        <v>7</v>
      </c>
      <c r="B60" s="23"/>
      <c r="C60" s="20"/>
      <c r="D60" s="26">
        <f>SUM(D57:D59)</f>
        <v>35.44</v>
      </c>
      <c r="E60" s="25">
        <f>SUM(E57:E59)</f>
        <v>787.78</v>
      </c>
    </row>
    <row r="61" spans="1:6">
      <c r="A61" s="19"/>
      <c r="B61" s="23"/>
      <c r="C61" s="20"/>
      <c r="D61" s="26"/>
      <c r="E61" s="25"/>
    </row>
    <row r="62" spans="1:6">
      <c r="A62" s="20" t="s">
        <v>330</v>
      </c>
      <c r="B62" s="23" t="s">
        <v>240</v>
      </c>
      <c r="C62" s="20" t="s">
        <v>241</v>
      </c>
      <c r="D62" s="21">
        <v>0.03</v>
      </c>
      <c r="E62" s="22">
        <v>1</v>
      </c>
    </row>
    <row r="63" spans="1:6">
      <c r="A63" s="19" t="s">
        <v>7</v>
      </c>
      <c r="B63" s="23"/>
      <c r="C63" s="20"/>
      <c r="D63" s="26">
        <v>0.03</v>
      </c>
      <c r="E63" s="25">
        <v>1</v>
      </c>
    </row>
    <row r="64" spans="1:6">
      <c r="A64" s="20"/>
      <c r="B64" s="23"/>
      <c r="C64" s="20"/>
      <c r="D64" s="21"/>
      <c r="E64" s="22"/>
    </row>
    <row r="65" spans="1:6">
      <c r="A65" s="20" t="s">
        <v>312</v>
      </c>
      <c r="B65" s="23" t="s">
        <v>171</v>
      </c>
      <c r="C65" s="20" t="s">
        <v>25</v>
      </c>
      <c r="D65" s="21">
        <v>0.25</v>
      </c>
      <c r="E65" s="22">
        <v>6.38</v>
      </c>
    </row>
    <row r="66" spans="1:6">
      <c r="A66" s="20" t="s">
        <v>286</v>
      </c>
      <c r="B66" s="20" t="s">
        <v>171</v>
      </c>
      <c r="C66" s="20" t="s">
        <v>25</v>
      </c>
      <c r="D66" s="21">
        <v>2.17</v>
      </c>
      <c r="E66" s="22">
        <v>55.25</v>
      </c>
    </row>
    <row r="67" spans="1:6">
      <c r="A67" s="20" t="s">
        <v>229</v>
      </c>
      <c r="B67" s="23" t="s">
        <v>171</v>
      </c>
      <c r="C67" s="20" t="s">
        <v>25</v>
      </c>
      <c r="D67" s="21">
        <v>3.63</v>
      </c>
      <c r="E67" s="22">
        <v>95.38</v>
      </c>
    </row>
    <row r="68" spans="1:6">
      <c r="A68" s="84" t="s">
        <v>306</v>
      </c>
      <c r="B68" s="85" t="s">
        <v>171</v>
      </c>
      <c r="C68" s="84" t="s">
        <v>25</v>
      </c>
      <c r="D68" s="86">
        <v>5.47</v>
      </c>
      <c r="E68" s="87">
        <v>143.5</v>
      </c>
      <c r="F68" s="31" t="s">
        <v>322</v>
      </c>
    </row>
    <row r="69" spans="1:6">
      <c r="A69" s="19" t="s">
        <v>7</v>
      </c>
      <c r="B69" s="20"/>
      <c r="C69" s="20"/>
      <c r="D69" s="26">
        <f>SUM(D65:D68)</f>
        <v>11.52</v>
      </c>
      <c r="E69" s="25">
        <f>SUM(E65:E68)</f>
        <v>300.51</v>
      </c>
    </row>
    <row r="70" spans="1:6">
      <c r="A70" s="20"/>
      <c r="B70" s="20"/>
      <c r="C70" s="20"/>
      <c r="D70" s="21"/>
      <c r="E70" s="22"/>
    </row>
    <row r="71" spans="1:6">
      <c r="A71" s="20" t="s">
        <v>13</v>
      </c>
      <c r="B71" s="20" t="s">
        <v>172</v>
      </c>
      <c r="C71" s="20" t="s">
        <v>12</v>
      </c>
      <c r="D71" s="21">
        <v>0.45</v>
      </c>
      <c r="E71" s="22">
        <v>16.71</v>
      </c>
    </row>
    <row r="72" spans="1:6">
      <c r="A72" s="19" t="s">
        <v>7</v>
      </c>
      <c r="B72" s="20"/>
      <c r="C72" s="20"/>
      <c r="D72" s="26">
        <f>SUM(D71:D71)</f>
        <v>0.45</v>
      </c>
      <c r="E72" s="25">
        <f>SUM(E71:E71)</f>
        <v>16.71</v>
      </c>
    </row>
    <row r="73" spans="1:6">
      <c r="A73" s="19"/>
      <c r="B73" s="20"/>
      <c r="C73" s="20"/>
      <c r="D73" s="21"/>
      <c r="E73" s="22"/>
    </row>
    <row r="74" spans="1:6">
      <c r="A74" s="20" t="s">
        <v>331</v>
      </c>
      <c r="B74" s="20">
        <v>100035</v>
      </c>
      <c r="C74" s="20" t="s">
        <v>332</v>
      </c>
      <c r="D74" s="21">
        <v>0.22</v>
      </c>
      <c r="E74" s="22">
        <v>6.5</v>
      </c>
    </row>
    <row r="75" spans="1:6">
      <c r="A75" s="19" t="s">
        <v>7</v>
      </c>
      <c r="B75" s="20"/>
      <c r="C75" s="20"/>
      <c r="D75" s="26">
        <f>SUM(D74:D74)</f>
        <v>0.22</v>
      </c>
      <c r="E75" s="25">
        <f>SUM(E74:E74)</f>
        <v>6.5</v>
      </c>
    </row>
    <row r="76" spans="1:6">
      <c r="A76" s="19"/>
      <c r="B76" s="20"/>
      <c r="C76" s="20"/>
      <c r="D76" s="21"/>
      <c r="E76" s="22"/>
    </row>
    <row r="77" spans="1:6">
      <c r="A77" s="27" t="s">
        <v>36</v>
      </c>
      <c r="B77" s="27">
        <v>100051</v>
      </c>
      <c r="C77" s="27" t="s">
        <v>34</v>
      </c>
      <c r="D77" s="29">
        <v>15</v>
      </c>
      <c r="E77" s="30">
        <v>315</v>
      </c>
      <c r="F77" s="31" t="s">
        <v>310</v>
      </c>
    </row>
    <row r="78" spans="1:6">
      <c r="A78" s="27" t="s">
        <v>37</v>
      </c>
      <c r="B78" s="27">
        <v>100051</v>
      </c>
      <c r="C78" s="27" t="s">
        <v>34</v>
      </c>
      <c r="D78" s="29">
        <v>13.23</v>
      </c>
      <c r="E78" s="30">
        <v>291.39999999999998</v>
      </c>
      <c r="F78" s="31" t="s">
        <v>310</v>
      </c>
    </row>
    <row r="79" spans="1:6">
      <c r="A79" s="19" t="s">
        <v>7</v>
      </c>
      <c r="B79" s="20"/>
      <c r="C79" s="20"/>
      <c r="D79" s="26">
        <f>SUM(D77:D78)</f>
        <v>28.23</v>
      </c>
      <c r="E79" s="25">
        <f>SUM(E77:E78)</f>
        <v>606.4</v>
      </c>
    </row>
    <row r="80" spans="1:6">
      <c r="A80" s="19"/>
      <c r="B80" s="20"/>
      <c r="C80" s="20"/>
      <c r="D80" s="26"/>
      <c r="E80" s="25"/>
    </row>
    <row r="81" spans="1:5">
      <c r="A81" s="20" t="s">
        <v>95</v>
      </c>
      <c r="B81" s="20" t="s">
        <v>180</v>
      </c>
      <c r="C81" s="20" t="s">
        <v>96</v>
      </c>
      <c r="D81" s="21">
        <v>1.75</v>
      </c>
      <c r="E81" s="22">
        <v>47.22</v>
      </c>
    </row>
    <row r="82" spans="1:5">
      <c r="A82" s="19" t="s">
        <v>7</v>
      </c>
      <c r="B82" s="20"/>
      <c r="C82" s="20"/>
      <c r="D82" s="26">
        <f>SUM(D81)</f>
        <v>1.75</v>
      </c>
      <c r="E82" s="25">
        <f>SUM(E81)</f>
        <v>47.22</v>
      </c>
    </row>
    <row r="83" spans="1:5">
      <c r="A83" s="20"/>
      <c r="B83" s="20"/>
      <c r="C83" s="20"/>
      <c r="D83" s="21"/>
      <c r="E83" s="22"/>
    </row>
    <row r="84" spans="1:5">
      <c r="A84" s="20" t="s">
        <v>244</v>
      </c>
      <c r="B84" s="20">
        <v>400020</v>
      </c>
      <c r="C84" s="20" t="s">
        <v>98</v>
      </c>
      <c r="D84" s="21">
        <v>1</v>
      </c>
      <c r="E84" s="22">
        <v>24</v>
      </c>
    </row>
    <row r="85" spans="1:5">
      <c r="A85" s="20" t="s">
        <v>97</v>
      </c>
      <c r="B85" s="20" t="s">
        <v>181</v>
      </c>
      <c r="C85" s="20" t="s">
        <v>98</v>
      </c>
      <c r="D85" s="21">
        <v>2.0499999999999998</v>
      </c>
      <c r="E85" s="22">
        <v>60.92</v>
      </c>
    </row>
    <row r="86" spans="1:5">
      <c r="A86" s="19" t="s">
        <v>7</v>
      </c>
      <c r="B86" s="20"/>
      <c r="C86" s="20"/>
      <c r="D86" s="26">
        <f>SUM(D84:D85)</f>
        <v>3.05</v>
      </c>
      <c r="E86" s="25">
        <f>SUM(E84:E85)</f>
        <v>84.92</v>
      </c>
    </row>
    <row r="87" spans="1:5">
      <c r="A87" s="19"/>
      <c r="B87" s="20"/>
      <c r="C87" s="20"/>
      <c r="D87" s="21"/>
      <c r="E87" s="22"/>
    </row>
    <row r="88" spans="1:5">
      <c r="A88" s="19" t="s">
        <v>194</v>
      </c>
      <c r="B88" s="20"/>
      <c r="C88" s="20"/>
      <c r="D88" s="26">
        <f>D86+D82+D79+D75+D72+D69+D63+D60+D55+D52+D47+D43+D20+D16+D12+D8+D5</f>
        <v>483.85</v>
      </c>
      <c r="E88" s="26">
        <f>E86+E82+E79+E75+E72+E69+E63+E60+E55+E52+E47+E43+E20+E16+E12+E8+E5</f>
        <v>10080.980000000001</v>
      </c>
    </row>
    <row r="89" spans="1:5">
      <c r="A89" s="20"/>
      <c r="B89" s="20"/>
      <c r="C89" s="20"/>
      <c r="D89" s="21"/>
      <c r="E89" s="22"/>
    </row>
  </sheetData>
  <mergeCells count="1">
    <mergeCell ref="G4:I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33"/>
  <sheetViews>
    <sheetView workbookViewId="0">
      <selection activeCell="F13" sqref="F13"/>
    </sheetView>
  </sheetViews>
  <sheetFormatPr defaultRowHeight="12.75"/>
  <cols>
    <col min="1" max="1" width="22.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18.140625" style="18" bestFit="1" customWidth="1"/>
    <col min="7" max="7" width="27.85546875" style="18" customWidth="1"/>
    <col min="8" max="8" width="31.5703125" style="18" customWidth="1"/>
    <col min="9" max="16384" width="9.140625" style="18"/>
  </cols>
  <sheetData>
    <row r="1" spans="1:8">
      <c r="A1" s="19" t="s">
        <v>147</v>
      </c>
      <c r="B1" s="19" t="s">
        <v>148</v>
      </c>
      <c r="C1" s="19" t="s">
        <v>149</v>
      </c>
      <c r="D1" s="19" t="s">
        <v>150</v>
      </c>
      <c r="E1" s="19" t="s">
        <v>151</v>
      </c>
      <c r="F1" s="11" t="s">
        <v>258</v>
      </c>
      <c r="G1" s="38" t="s">
        <v>259</v>
      </c>
      <c r="H1" s="42" t="s">
        <v>262</v>
      </c>
    </row>
    <row r="2" spans="1:8">
      <c r="A2" s="20" t="s">
        <v>20</v>
      </c>
      <c r="B2" s="20" t="s">
        <v>152</v>
      </c>
      <c r="C2" s="20" t="s">
        <v>15</v>
      </c>
      <c r="D2" s="21">
        <v>3.1</v>
      </c>
      <c r="E2" s="22">
        <v>81.42</v>
      </c>
      <c r="G2" s="13">
        <f>E13+E16+E23+E24+E25+E26+E27+E28+E29+E34+E38+E39+E40+E47+E54+E57+E76+E77+E81+E82+E83+E84</f>
        <v>7064.1600000000008</v>
      </c>
      <c r="H2" s="43">
        <f>E64+E66</f>
        <v>511.26</v>
      </c>
    </row>
    <row r="3" spans="1:8">
      <c r="A3" s="20" t="s">
        <v>18</v>
      </c>
      <c r="B3" s="20" t="s">
        <v>152</v>
      </c>
      <c r="C3" s="20" t="s">
        <v>15</v>
      </c>
      <c r="D3" s="21">
        <v>2.1</v>
      </c>
      <c r="E3" s="22">
        <v>58.46</v>
      </c>
      <c r="G3"/>
      <c r="H3"/>
    </row>
    <row r="4" spans="1:8">
      <c r="A4" s="20" t="s">
        <v>19</v>
      </c>
      <c r="B4" s="23" t="s">
        <v>152</v>
      </c>
      <c r="C4" s="20" t="s">
        <v>15</v>
      </c>
      <c r="D4" s="21">
        <v>1.1499999999999999</v>
      </c>
      <c r="E4" s="22">
        <v>35.54</v>
      </c>
      <c r="G4" s="305" t="s">
        <v>263</v>
      </c>
      <c r="H4" s="306"/>
    </row>
    <row r="5" spans="1:8">
      <c r="A5" s="19" t="s">
        <v>7</v>
      </c>
      <c r="B5" s="20"/>
      <c r="C5" s="20"/>
      <c r="D5" s="24">
        <f>SUM(D2:D4)</f>
        <v>6.35</v>
      </c>
      <c r="E5" s="25">
        <f>SUM(E2:E4)</f>
        <v>175.42</v>
      </c>
    </row>
    <row r="6" spans="1:8">
      <c r="A6" s="19"/>
      <c r="B6" s="20"/>
      <c r="C6" s="20"/>
      <c r="D6" s="24"/>
      <c r="E6" s="25"/>
    </row>
    <row r="7" spans="1:8">
      <c r="A7" s="20" t="s">
        <v>309</v>
      </c>
      <c r="B7" s="23" t="s">
        <v>217</v>
      </c>
      <c r="C7" s="20" t="s">
        <v>218</v>
      </c>
      <c r="D7" s="55">
        <v>2.83</v>
      </c>
      <c r="E7" s="22">
        <v>69.06</v>
      </c>
    </row>
    <row r="8" spans="1:8">
      <c r="A8" s="19" t="s">
        <v>7</v>
      </c>
      <c r="B8" s="20"/>
      <c r="C8" s="20"/>
      <c r="D8" s="24">
        <f>SUM(D7:D7)</f>
        <v>2.83</v>
      </c>
      <c r="E8" s="25">
        <f>SUM(E7:E7)</f>
        <v>69.06</v>
      </c>
    </row>
    <row r="9" spans="1:8">
      <c r="A9" s="19"/>
      <c r="B9" s="20"/>
      <c r="C9" s="20"/>
      <c r="D9" s="26"/>
      <c r="E9" s="25"/>
    </row>
    <row r="10" spans="1:8">
      <c r="A10" s="20" t="s">
        <v>195</v>
      </c>
      <c r="B10" s="23" t="s">
        <v>155</v>
      </c>
      <c r="C10" s="20" t="s">
        <v>196</v>
      </c>
      <c r="D10" s="21">
        <v>1.18</v>
      </c>
      <c r="E10" s="22">
        <v>35.5</v>
      </c>
    </row>
    <row r="11" spans="1:8">
      <c r="A11" s="19" t="s">
        <v>7</v>
      </c>
      <c r="B11" s="20"/>
      <c r="C11" s="20"/>
      <c r="D11" s="26">
        <f>SUM(D10:D10)</f>
        <v>1.18</v>
      </c>
      <c r="E11" s="25">
        <f>SUM(E10:E10)</f>
        <v>35.5</v>
      </c>
    </row>
    <row r="12" spans="1:8">
      <c r="A12" s="19"/>
      <c r="B12" s="20"/>
      <c r="C12" s="20"/>
      <c r="D12" s="26"/>
      <c r="E12" s="25"/>
    </row>
    <row r="13" spans="1:8">
      <c r="A13" s="27" t="s">
        <v>317</v>
      </c>
      <c r="B13" s="28" t="s">
        <v>198</v>
      </c>
      <c r="C13" s="27" t="s">
        <v>199</v>
      </c>
      <c r="D13" s="29">
        <v>9.5</v>
      </c>
      <c r="E13" s="30">
        <v>235.13</v>
      </c>
      <c r="F13" s="31" t="s">
        <v>310</v>
      </c>
    </row>
    <row r="14" spans="1:8">
      <c r="A14" s="19" t="s">
        <v>7</v>
      </c>
      <c r="B14" s="20"/>
      <c r="C14" s="20"/>
      <c r="D14" s="26">
        <f>SUM(D13:D13)</f>
        <v>9.5</v>
      </c>
      <c r="E14" s="25">
        <f>SUM(E13:E13)</f>
        <v>235.13</v>
      </c>
    </row>
    <row r="15" spans="1:8">
      <c r="A15" s="19"/>
      <c r="B15" s="20"/>
      <c r="C15" s="20"/>
      <c r="D15" s="26"/>
      <c r="E15" s="25"/>
    </row>
    <row r="16" spans="1:8">
      <c r="A16" s="27" t="s">
        <v>14</v>
      </c>
      <c r="B16" s="28" t="s">
        <v>156</v>
      </c>
      <c r="C16" s="27" t="s">
        <v>91</v>
      </c>
      <c r="D16" s="29">
        <v>7.87</v>
      </c>
      <c r="E16" s="30">
        <v>206.62</v>
      </c>
      <c r="F16" s="31" t="s">
        <v>310</v>
      </c>
    </row>
    <row r="17" spans="1:6">
      <c r="A17" s="20" t="s">
        <v>335</v>
      </c>
      <c r="B17" s="23" t="s">
        <v>156</v>
      </c>
      <c r="C17" s="20" t="s">
        <v>91</v>
      </c>
      <c r="D17" s="21">
        <v>2.88</v>
      </c>
      <c r="E17" s="22">
        <v>80.010000000000005</v>
      </c>
    </row>
    <row r="18" spans="1:6">
      <c r="A18" s="20" t="s">
        <v>92</v>
      </c>
      <c r="B18" s="23" t="s">
        <v>156</v>
      </c>
      <c r="C18" s="20" t="s">
        <v>91</v>
      </c>
      <c r="D18" s="21">
        <v>1.1200000000000001</v>
      </c>
      <c r="E18" s="22">
        <v>29.55</v>
      </c>
    </row>
    <row r="19" spans="1:6">
      <c r="A19" s="19" t="s">
        <v>7</v>
      </c>
      <c r="B19" s="20"/>
      <c r="C19" s="20"/>
      <c r="D19" s="26">
        <f>SUM(D16:D18)</f>
        <v>11.870000000000001</v>
      </c>
      <c r="E19" s="25">
        <f>SUM(E16:E18)</f>
        <v>316.18</v>
      </c>
    </row>
    <row r="20" spans="1:6">
      <c r="A20" s="20"/>
      <c r="B20" s="20"/>
      <c r="C20" s="20"/>
      <c r="D20" s="21"/>
      <c r="E20" s="22"/>
    </row>
    <row r="21" spans="1:6">
      <c r="A21" s="20" t="s">
        <v>336</v>
      </c>
      <c r="B21" s="23" t="s">
        <v>157</v>
      </c>
      <c r="C21" s="20" t="s">
        <v>66</v>
      </c>
      <c r="D21" s="21">
        <v>0.5</v>
      </c>
      <c r="E21" s="22">
        <v>9.3800000000000008</v>
      </c>
    </row>
    <row r="22" spans="1:6">
      <c r="A22" s="20" t="s">
        <v>266</v>
      </c>
      <c r="B22" s="23" t="s">
        <v>157</v>
      </c>
      <c r="C22" s="20" t="s">
        <v>66</v>
      </c>
      <c r="D22" s="21">
        <v>0.72</v>
      </c>
      <c r="E22" s="22">
        <v>13.98</v>
      </c>
    </row>
    <row r="23" spans="1:6">
      <c r="A23" s="27" t="s">
        <v>175</v>
      </c>
      <c r="B23" s="28" t="s">
        <v>157</v>
      </c>
      <c r="C23" s="27" t="s">
        <v>66</v>
      </c>
      <c r="D23" s="29">
        <v>4.13</v>
      </c>
      <c r="E23" s="30">
        <v>80.599999999999994</v>
      </c>
      <c r="F23" s="31" t="s">
        <v>310</v>
      </c>
    </row>
    <row r="24" spans="1:6">
      <c r="A24" s="27" t="s">
        <v>228</v>
      </c>
      <c r="B24" s="28" t="s">
        <v>157</v>
      </c>
      <c r="C24" s="27" t="s">
        <v>66</v>
      </c>
      <c r="D24" s="29">
        <v>19.82</v>
      </c>
      <c r="E24" s="30">
        <v>386.43</v>
      </c>
      <c r="F24" s="31" t="s">
        <v>310</v>
      </c>
    </row>
    <row r="25" spans="1:6">
      <c r="A25" s="27" t="s">
        <v>210</v>
      </c>
      <c r="B25" s="28" t="s">
        <v>157</v>
      </c>
      <c r="C25" s="27" t="s">
        <v>66</v>
      </c>
      <c r="D25" s="27">
        <v>19.27</v>
      </c>
      <c r="E25" s="30">
        <v>375.7</v>
      </c>
      <c r="F25" s="31" t="s">
        <v>310</v>
      </c>
    </row>
    <row r="26" spans="1:6">
      <c r="A26" s="27" t="s">
        <v>89</v>
      </c>
      <c r="B26" s="28" t="s">
        <v>157</v>
      </c>
      <c r="C26" s="27" t="s">
        <v>66</v>
      </c>
      <c r="D26" s="27">
        <v>26.88</v>
      </c>
      <c r="E26" s="30">
        <v>524.23</v>
      </c>
      <c r="F26" s="31" t="s">
        <v>310</v>
      </c>
    </row>
    <row r="27" spans="1:6">
      <c r="A27" s="27" t="s">
        <v>237</v>
      </c>
      <c r="B27" s="28" t="s">
        <v>157</v>
      </c>
      <c r="C27" s="27" t="s">
        <v>66</v>
      </c>
      <c r="D27" s="27">
        <v>14.02</v>
      </c>
      <c r="E27" s="30">
        <v>294.35000000000002</v>
      </c>
      <c r="F27" s="31" t="s">
        <v>310</v>
      </c>
    </row>
    <row r="28" spans="1:6">
      <c r="A28" s="27" t="s">
        <v>86</v>
      </c>
      <c r="B28" s="28" t="s">
        <v>157</v>
      </c>
      <c r="C28" s="27" t="s">
        <v>66</v>
      </c>
      <c r="D28" s="27">
        <v>5.5</v>
      </c>
      <c r="E28" s="30">
        <v>119.63</v>
      </c>
      <c r="F28" s="31" t="s">
        <v>310</v>
      </c>
    </row>
    <row r="29" spans="1:6">
      <c r="A29" s="27" t="s">
        <v>292</v>
      </c>
      <c r="B29" s="28" t="s">
        <v>157</v>
      </c>
      <c r="C29" s="27" t="s">
        <v>66</v>
      </c>
      <c r="D29" s="27">
        <v>9.57</v>
      </c>
      <c r="E29" s="30">
        <v>186.55</v>
      </c>
      <c r="F29" s="31" t="s">
        <v>310</v>
      </c>
    </row>
    <row r="30" spans="1:6">
      <c r="A30" s="20" t="s">
        <v>85</v>
      </c>
      <c r="B30" s="23" t="s">
        <v>157</v>
      </c>
      <c r="C30" s="20" t="s">
        <v>66</v>
      </c>
      <c r="D30" s="20">
        <v>1.1200000000000001</v>
      </c>
      <c r="E30" s="22">
        <v>26.73</v>
      </c>
    </row>
    <row r="31" spans="1:6">
      <c r="A31" s="20" t="s">
        <v>159</v>
      </c>
      <c r="B31" s="23" t="s">
        <v>157</v>
      </c>
      <c r="C31" s="20" t="s">
        <v>66</v>
      </c>
      <c r="D31" s="20">
        <v>3.85</v>
      </c>
      <c r="E31" s="22">
        <v>75.08</v>
      </c>
    </row>
    <row r="32" spans="1:6">
      <c r="A32" s="20" t="s">
        <v>88</v>
      </c>
      <c r="B32" s="23" t="s">
        <v>157</v>
      </c>
      <c r="C32" s="20" t="s">
        <v>66</v>
      </c>
      <c r="D32" s="20">
        <v>2.98</v>
      </c>
      <c r="E32" s="22">
        <v>62.65</v>
      </c>
    </row>
    <row r="33" spans="1:6">
      <c r="A33" s="20" t="s">
        <v>328</v>
      </c>
      <c r="B33" s="23" t="s">
        <v>157</v>
      </c>
      <c r="C33" s="20" t="s">
        <v>66</v>
      </c>
      <c r="D33" s="20">
        <v>2.27</v>
      </c>
      <c r="E33" s="22">
        <v>51</v>
      </c>
    </row>
    <row r="34" spans="1:6">
      <c r="A34" s="27" t="s">
        <v>79</v>
      </c>
      <c r="B34" s="28" t="s">
        <v>157</v>
      </c>
      <c r="C34" s="27" t="s">
        <v>66</v>
      </c>
      <c r="D34" s="27">
        <v>18.420000000000002</v>
      </c>
      <c r="E34" s="30">
        <v>428.19</v>
      </c>
      <c r="F34" s="31" t="s">
        <v>310</v>
      </c>
    </row>
    <row r="35" spans="1:6">
      <c r="A35" s="20" t="s">
        <v>338</v>
      </c>
      <c r="B35" s="23" t="s">
        <v>157</v>
      </c>
      <c r="C35" s="20" t="s">
        <v>66</v>
      </c>
      <c r="D35" s="20">
        <v>3.8</v>
      </c>
      <c r="E35" s="22">
        <v>74.099999999999994</v>
      </c>
    </row>
    <row r="36" spans="1:6">
      <c r="A36" s="19" t="s">
        <v>7</v>
      </c>
      <c r="B36" s="20"/>
      <c r="C36" s="20"/>
      <c r="D36" s="26">
        <f>SUM(D21:D35)</f>
        <v>132.85000000000002</v>
      </c>
      <c r="E36" s="25">
        <f>SUM(E21:E35)</f>
        <v>2708.6000000000004</v>
      </c>
    </row>
    <row r="37" spans="1:6">
      <c r="A37" s="19"/>
      <c r="B37" s="20"/>
      <c r="C37" s="20"/>
      <c r="D37" s="26"/>
      <c r="E37" s="25"/>
    </row>
    <row r="38" spans="1:6">
      <c r="A38" s="27" t="s">
        <v>236</v>
      </c>
      <c r="B38" s="28" t="s">
        <v>162</v>
      </c>
      <c r="C38" s="27" t="s">
        <v>51</v>
      </c>
      <c r="D38" s="29">
        <v>14.08</v>
      </c>
      <c r="E38" s="30">
        <v>253.5</v>
      </c>
      <c r="F38" s="31" t="s">
        <v>310</v>
      </c>
    </row>
    <row r="39" spans="1:6">
      <c r="A39" s="27" t="s">
        <v>52</v>
      </c>
      <c r="B39" s="28" t="s">
        <v>162</v>
      </c>
      <c r="C39" s="27" t="s">
        <v>51</v>
      </c>
      <c r="D39" s="29">
        <v>5.82</v>
      </c>
      <c r="E39" s="30">
        <v>130.88</v>
      </c>
      <c r="F39" s="31" t="s">
        <v>310</v>
      </c>
    </row>
    <row r="40" spans="1:6">
      <c r="A40" s="27" t="s">
        <v>163</v>
      </c>
      <c r="B40" s="28" t="s">
        <v>162</v>
      </c>
      <c r="C40" s="27" t="s">
        <v>51</v>
      </c>
      <c r="D40" s="29">
        <v>48.27</v>
      </c>
      <c r="E40" s="30">
        <v>1158.4000000000001</v>
      </c>
      <c r="F40" s="31" t="s">
        <v>310</v>
      </c>
    </row>
    <row r="41" spans="1:6">
      <c r="A41" s="19" t="s">
        <v>7</v>
      </c>
      <c r="B41" s="20"/>
      <c r="C41" s="20"/>
      <c r="D41" s="26">
        <f>SUM(D38:D40)</f>
        <v>68.17</v>
      </c>
      <c r="E41" s="25">
        <f>SUM(E38:E40)</f>
        <v>1542.7800000000002</v>
      </c>
    </row>
    <row r="42" spans="1:6">
      <c r="A42" s="19"/>
      <c r="B42" s="20"/>
      <c r="C42" s="20"/>
      <c r="D42" s="26"/>
      <c r="E42" s="25"/>
    </row>
    <row r="43" spans="1:6">
      <c r="A43" s="20" t="s">
        <v>64</v>
      </c>
      <c r="B43" s="23" t="s">
        <v>164</v>
      </c>
      <c r="C43" s="20" t="s">
        <v>60</v>
      </c>
      <c r="D43" s="21">
        <v>2.12</v>
      </c>
      <c r="E43" s="22">
        <v>38.1</v>
      </c>
    </row>
    <row r="44" spans="1:6">
      <c r="A44" s="20" t="s">
        <v>329</v>
      </c>
      <c r="B44" s="23" t="s">
        <v>164</v>
      </c>
      <c r="C44" s="20" t="s">
        <v>60</v>
      </c>
      <c r="D44" s="21">
        <v>1.1299999999999999</v>
      </c>
      <c r="E44" s="22">
        <v>30.6</v>
      </c>
    </row>
    <row r="45" spans="1:6">
      <c r="A45" s="19" t="s">
        <v>7</v>
      </c>
      <c r="B45" s="20"/>
      <c r="C45" s="20"/>
      <c r="D45" s="26">
        <f>SUM(D43:D44)</f>
        <v>3.25</v>
      </c>
      <c r="E45" s="25">
        <f>SUM(E43:E44)</f>
        <v>68.7</v>
      </c>
    </row>
    <row r="46" spans="1:6">
      <c r="A46" s="19"/>
      <c r="B46" s="20"/>
      <c r="C46" s="20"/>
      <c r="D46" s="26"/>
      <c r="E46" s="25"/>
    </row>
    <row r="47" spans="1:6">
      <c r="A47" s="27" t="s">
        <v>339</v>
      </c>
      <c r="B47" s="28" t="s">
        <v>165</v>
      </c>
      <c r="C47" s="27" t="s">
        <v>45</v>
      </c>
      <c r="D47" s="29">
        <v>10.08</v>
      </c>
      <c r="E47" s="30">
        <v>196.63</v>
      </c>
      <c r="F47" s="31" t="s">
        <v>310</v>
      </c>
    </row>
    <row r="48" spans="1:6">
      <c r="A48" s="19" t="s">
        <v>7</v>
      </c>
      <c r="B48" s="20"/>
      <c r="C48" s="20"/>
      <c r="D48" s="26">
        <v>10.08</v>
      </c>
      <c r="E48" s="25">
        <v>196.63</v>
      </c>
    </row>
    <row r="49" spans="1:6">
      <c r="A49" s="19"/>
      <c r="B49" s="20"/>
      <c r="C49" s="20"/>
      <c r="D49" s="26"/>
      <c r="E49" s="25"/>
    </row>
    <row r="50" spans="1:6">
      <c r="A50" s="20" t="s">
        <v>166</v>
      </c>
      <c r="B50" s="23" t="s">
        <v>167</v>
      </c>
      <c r="C50" s="20" t="s">
        <v>54</v>
      </c>
      <c r="D50" s="21">
        <v>3.03</v>
      </c>
      <c r="E50" s="22">
        <v>68.25</v>
      </c>
    </row>
    <row r="51" spans="1:6">
      <c r="A51" s="20" t="s">
        <v>253</v>
      </c>
      <c r="B51" s="23" t="s">
        <v>167</v>
      </c>
      <c r="C51" s="20" t="s">
        <v>54</v>
      </c>
      <c r="D51" s="21">
        <v>2.73</v>
      </c>
      <c r="E51" s="22">
        <v>57.4</v>
      </c>
    </row>
    <row r="52" spans="1:6">
      <c r="A52" s="20" t="s">
        <v>254</v>
      </c>
      <c r="B52" s="23" t="s">
        <v>167</v>
      </c>
      <c r="C52" s="20" t="s">
        <v>54</v>
      </c>
      <c r="D52" s="21">
        <v>0.63</v>
      </c>
      <c r="E52" s="22">
        <v>13.3</v>
      </c>
    </row>
    <row r="53" spans="1:6">
      <c r="A53" s="20" t="s">
        <v>270</v>
      </c>
      <c r="B53" s="23" t="s">
        <v>167</v>
      </c>
      <c r="C53" s="20" t="s">
        <v>54</v>
      </c>
      <c r="D53" s="21">
        <v>3.87</v>
      </c>
      <c r="E53" s="22">
        <v>104.4</v>
      </c>
    </row>
    <row r="54" spans="1:6">
      <c r="A54" s="27" t="s">
        <v>340</v>
      </c>
      <c r="B54" s="28" t="s">
        <v>167</v>
      </c>
      <c r="C54" s="27" t="s">
        <v>54</v>
      </c>
      <c r="D54" s="29">
        <v>5.62</v>
      </c>
      <c r="E54" s="30">
        <v>122.16</v>
      </c>
      <c r="F54" s="31" t="s">
        <v>310</v>
      </c>
    </row>
    <row r="55" spans="1:6">
      <c r="A55" s="19" t="s">
        <v>7</v>
      </c>
      <c r="B55" s="23"/>
      <c r="C55" s="20"/>
      <c r="D55" s="26">
        <f>SUM(D50:D54)</f>
        <v>15.879999999999999</v>
      </c>
      <c r="E55" s="25">
        <f>SUM(E50:E54)</f>
        <v>365.51</v>
      </c>
    </row>
    <row r="56" spans="1:6">
      <c r="A56" s="19"/>
      <c r="B56" s="23"/>
      <c r="C56" s="20"/>
      <c r="D56" s="26"/>
      <c r="E56" s="25"/>
    </row>
    <row r="57" spans="1:6">
      <c r="A57" s="27" t="s">
        <v>42</v>
      </c>
      <c r="B57" s="28" t="s">
        <v>170</v>
      </c>
      <c r="C57" s="27" t="s">
        <v>43</v>
      </c>
      <c r="D57" s="29">
        <v>7.92</v>
      </c>
      <c r="E57" s="30">
        <v>234.53</v>
      </c>
      <c r="F57" s="31" t="s">
        <v>310</v>
      </c>
    </row>
    <row r="58" spans="1:6">
      <c r="A58" s="19" t="s">
        <v>7</v>
      </c>
      <c r="B58" s="23"/>
      <c r="C58" s="20"/>
      <c r="D58" s="26">
        <v>7.92</v>
      </c>
      <c r="E58" s="25">
        <v>234.53</v>
      </c>
    </row>
    <row r="59" spans="1:6">
      <c r="A59" s="19"/>
      <c r="B59" s="23"/>
      <c r="C59" s="20"/>
      <c r="D59" s="26"/>
      <c r="E59" s="25"/>
    </row>
    <row r="60" spans="1:6">
      <c r="A60" s="20" t="s">
        <v>330</v>
      </c>
      <c r="B60" s="23" t="s">
        <v>240</v>
      </c>
      <c r="C60" s="20" t="s">
        <v>241</v>
      </c>
      <c r="D60" s="21">
        <v>0.08</v>
      </c>
      <c r="E60" s="22">
        <v>2.5</v>
      </c>
    </row>
    <row r="61" spans="1:6">
      <c r="A61" s="19" t="s">
        <v>7</v>
      </c>
      <c r="B61" s="23"/>
      <c r="C61" s="20"/>
      <c r="D61" s="26">
        <v>0.08</v>
      </c>
      <c r="E61" s="25">
        <v>2.5</v>
      </c>
    </row>
    <row r="62" spans="1:6">
      <c r="A62" s="20"/>
      <c r="B62" s="23"/>
      <c r="C62" s="20"/>
      <c r="D62" s="21"/>
      <c r="E62" s="22"/>
    </row>
    <row r="63" spans="1:6">
      <c r="A63" s="20" t="s">
        <v>312</v>
      </c>
      <c r="B63" s="23" t="s">
        <v>171</v>
      </c>
      <c r="C63" s="20" t="s">
        <v>25</v>
      </c>
      <c r="D63" s="21">
        <v>0.23</v>
      </c>
      <c r="E63" s="22">
        <v>5.95</v>
      </c>
    </row>
    <row r="64" spans="1:6">
      <c r="A64" s="44" t="s">
        <v>286</v>
      </c>
      <c r="B64" s="44" t="s">
        <v>171</v>
      </c>
      <c r="C64" s="44" t="s">
        <v>25</v>
      </c>
      <c r="D64" s="45">
        <v>6.08</v>
      </c>
      <c r="E64" s="46">
        <v>155.13</v>
      </c>
      <c r="F64" s="31" t="s">
        <v>310</v>
      </c>
    </row>
    <row r="65" spans="1:6">
      <c r="A65" s="20" t="s">
        <v>229</v>
      </c>
      <c r="B65" s="23" t="s">
        <v>171</v>
      </c>
      <c r="C65" s="20" t="s">
        <v>25</v>
      </c>
      <c r="D65" s="21">
        <v>3.73</v>
      </c>
      <c r="E65" s="22">
        <v>98</v>
      </c>
    </row>
    <row r="66" spans="1:6">
      <c r="A66" s="44" t="s">
        <v>306</v>
      </c>
      <c r="B66" s="90" t="s">
        <v>171</v>
      </c>
      <c r="C66" s="44" t="s">
        <v>25</v>
      </c>
      <c r="D66" s="45">
        <v>13.57</v>
      </c>
      <c r="E66" s="46">
        <v>356.13</v>
      </c>
      <c r="F66" s="31" t="s">
        <v>310</v>
      </c>
    </row>
    <row r="67" spans="1:6">
      <c r="A67" s="19" t="s">
        <v>7</v>
      </c>
      <c r="B67" s="20"/>
      <c r="C67" s="20"/>
      <c r="D67" s="26">
        <f>SUM(D63:D66)</f>
        <v>23.61</v>
      </c>
      <c r="E67" s="25">
        <f>SUM(E63:E66)</f>
        <v>615.21</v>
      </c>
    </row>
    <row r="68" spans="1:6">
      <c r="A68" s="20"/>
      <c r="B68" s="20"/>
      <c r="C68" s="20"/>
      <c r="D68" s="21"/>
      <c r="E68" s="22"/>
    </row>
    <row r="69" spans="1:6">
      <c r="A69" s="20" t="s">
        <v>13</v>
      </c>
      <c r="B69" s="20" t="s">
        <v>172</v>
      </c>
      <c r="C69" s="20" t="s">
        <v>12</v>
      </c>
      <c r="D69" s="21">
        <v>0.78</v>
      </c>
      <c r="E69" s="22">
        <v>29.09</v>
      </c>
    </row>
    <row r="70" spans="1:6">
      <c r="A70" s="19" t="s">
        <v>7</v>
      </c>
      <c r="B70" s="20"/>
      <c r="C70" s="20"/>
      <c r="D70" s="26">
        <f>SUM(D69:D69)</f>
        <v>0.78</v>
      </c>
      <c r="E70" s="25">
        <f>SUM(E69:E69)</f>
        <v>29.09</v>
      </c>
    </row>
    <row r="71" spans="1:6">
      <c r="A71" s="19"/>
      <c r="B71" s="20"/>
      <c r="C71" s="20"/>
      <c r="D71" s="21"/>
      <c r="E71" s="22"/>
    </row>
    <row r="72" spans="1:6">
      <c r="A72" s="20" t="s">
        <v>307</v>
      </c>
      <c r="B72" s="20">
        <v>100035</v>
      </c>
      <c r="C72" s="20" t="s">
        <v>332</v>
      </c>
      <c r="D72" s="21">
        <v>0.56999999999999995</v>
      </c>
      <c r="E72" s="22">
        <v>20.81</v>
      </c>
    </row>
    <row r="73" spans="1:6">
      <c r="A73" s="20" t="s">
        <v>331</v>
      </c>
      <c r="B73" s="20">
        <v>100035</v>
      </c>
      <c r="C73" s="20" t="s">
        <v>332</v>
      </c>
      <c r="D73" s="21">
        <v>1.48</v>
      </c>
      <c r="E73" s="22">
        <v>44.5</v>
      </c>
    </row>
    <row r="74" spans="1:6">
      <c r="A74" s="19" t="s">
        <v>7</v>
      </c>
      <c r="B74" s="20"/>
      <c r="C74" s="20"/>
      <c r="D74" s="26">
        <f>SUM(D73:D73)</f>
        <v>1.48</v>
      </c>
      <c r="E74" s="25">
        <f>SUM(E73:E73)</f>
        <v>44.5</v>
      </c>
    </row>
    <row r="75" spans="1:6">
      <c r="A75" s="19"/>
      <c r="B75" s="20"/>
      <c r="C75" s="20"/>
      <c r="D75" s="21"/>
      <c r="E75" s="22"/>
    </row>
    <row r="76" spans="1:6">
      <c r="A76" s="27" t="s">
        <v>36</v>
      </c>
      <c r="B76" s="27">
        <v>100051</v>
      </c>
      <c r="C76" s="27" t="s">
        <v>34</v>
      </c>
      <c r="D76" s="29">
        <v>25.22</v>
      </c>
      <c r="E76" s="30">
        <v>529.54999999999995</v>
      </c>
      <c r="F76" s="31" t="s">
        <v>310</v>
      </c>
    </row>
    <row r="77" spans="1:6">
      <c r="A77" s="27" t="s">
        <v>37</v>
      </c>
      <c r="B77" s="27">
        <v>100051</v>
      </c>
      <c r="C77" s="27" t="s">
        <v>34</v>
      </c>
      <c r="D77" s="29">
        <v>35</v>
      </c>
      <c r="E77" s="30">
        <v>770.7</v>
      </c>
      <c r="F77" s="31" t="s">
        <v>310</v>
      </c>
    </row>
    <row r="78" spans="1:6">
      <c r="A78" s="20" t="s">
        <v>341</v>
      </c>
      <c r="B78" s="20">
        <v>100051</v>
      </c>
      <c r="C78" s="20" t="s">
        <v>34</v>
      </c>
      <c r="D78" s="21">
        <v>0.85</v>
      </c>
      <c r="E78" s="22">
        <v>16.579999999999998</v>
      </c>
    </row>
    <row r="79" spans="1:6">
      <c r="A79" s="19" t="s">
        <v>7</v>
      </c>
      <c r="B79" s="20"/>
      <c r="C79" s="20"/>
      <c r="D79" s="26">
        <f>SUM(D76:D78)</f>
        <v>61.07</v>
      </c>
      <c r="E79" s="25">
        <f>SUM(E76:E78)</f>
        <v>1316.83</v>
      </c>
    </row>
    <row r="80" spans="1:6">
      <c r="A80" s="19"/>
      <c r="B80" s="20"/>
      <c r="C80" s="20"/>
      <c r="D80" s="26"/>
      <c r="E80" s="25"/>
    </row>
    <row r="81" spans="1:6">
      <c r="A81" s="27" t="s">
        <v>276</v>
      </c>
      <c r="B81" s="27">
        <v>290051</v>
      </c>
      <c r="C81" s="27" t="s">
        <v>141</v>
      </c>
      <c r="D81" s="29">
        <v>14.08</v>
      </c>
      <c r="E81" s="30">
        <v>273.99</v>
      </c>
      <c r="F81" s="31" t="s">
        <v>310</v>
      </c>
    </row>
    <row r="82" spans="1:6">
      <c r="A82" s="27" t="s">
        <v>142</v>
      </c>
      <c r="B82" s="27">
        <v>290051</v>
      </c>
      <c r="C82" s="27" t="s">
        <v>141</v>
      </c>
      <c r="D82" s="29">
        <v>12.08</v>
      </c>
      <c r="E82" s="30">
        <v>181.25</v>
      </c>
      <c r="F82" s="31" t="s">
        <v>310</v>
      </c>
    </row>
    <row r="83" spans="1:6">
      <c r="A83" s="27" t="s">
        <v>215</v>
      </c>
      <c r="B83" s="27">
        <v>290051</v>
      </c>
      <c r="C83" s="27" t="s">
        <v>141</v>
      </c>
      <c r="D83" s="29">
        <v>14.1</v>
      </c>
      <c r="E83" s="30">
        <v>215.52</v>
      </c>
      <c r="F83" s="31" t="s">
        <v>310</v>
      </c>
    </row>
    <row r="84" spans="1:6">
      <c r="A84" s="27" t="s">
        <v>144</v>
      </c>
      <c r="B84" s="27">
        <v>290051</v>
      </c>
      <c r="C84" s="27" t="s">
        <v>141</v>
      </c>
      <c r="D84" s="29">
        <v>9.0299999999999994</v>
      </c>
      <c r="E84" s="30">
        <v>159.62</v>
      </c>
      <c r="F84" s="31" t="s">
        <v>310</v>
      </c>
    </row>
    <row r="85" spans="1:6">
      <c r="A85" s="19" t="s">
        <v>7</v>
      </c>
      <c r="B85" s="20"/>
      <c r="C85" s="20"/>
      <c r="D85" s="26">
        <f>SUM(D81:D84)</f>
        <v>49.29</v>
      </c>
      <c r="E85" s="25">
        <f>SUM(E81:E84)</f>
        <v>830.38</v>
      </c>
    </row>
    <row r="86" spans="1:6">
      <c r="A86" s="19"/>
      <c r="B86" s="20"/>
      <c r="C86" s="20"/>
      <c r="D86" s="26"/>
      <c r="E86" s="25"/>
    </row>
    <row r="87" spans="1:6">
      <c r="A87" s="20" t="s">
        <v>95</v>
      </c>
      <c r="B87" s="20" t="s">
        <v>180</v>
      </c>
      <c r="C87" s="20" t="s">
        <v>96</v>
      </c>
      <c r="D87" s="21">
        <v>1.75</v>
      </c>
      <c r="E87" s="22">
        <v>47.22</v>
      </c>
    </row>
    <row r="88" spans="1:6">
      <c r="A88" s="19" t="s">
        <v>7</v>
      </c>
      <c r="B88" s="20"/>
      <c r="C88" s="20"/>
      <c r="D88" s="26">
        <f>SUM(D87)</f>
        <v>1.75</v>
      </c>
      <c r="E88" s="25">
        <f>SUM(E87)</f>
        <v>47.22</v>
      </c>
    </row>
    <row r="89" spans="1:6">
      <c r="A89" s="20"/>
      <c r="B89" s="20"/>
      <c r="C89" s="20"/>
      <c r="D89" s="21"/>
      <c r="E89" s="22"/>
    </row>
    <row r="90" spans="1:6">
      <c r="A90" s="20" t="s">
        <v>244</v>
      </c>
      <c r="B90" s="20">
        <v>400020</v>
      </c>
      <c r="C90" s="20" t="s">
        <v>98</v>
      </c>
      <c r="D90" s="21">
        <v>1.8</v>
      </c>
      <c r="E90" s="22">
        <v>43.2</v>
      </c>
    </row>
    <row r="91" spans="1:6">
      <c r="A91" s="20" t="s">
        <v>97</v>
      </c>
      <c r="B91" s="20" t="s">
        <v>181</v>
      </c>
      <c r="C91" s="20" t="s">
        <v>98</v>
      </c>
      <c r="D91" s="21">
        <v>1.17</v>
      </c>
      <c r="E91" s="22">
        <v>34.67</v>
      </c>
    </row>
    <row r="92" spans="1:6">
      <c r="A92" s="19" t="s">
        <v>7</v>
      </c>
      <c r="B92" s="20"/>
      <c r="C92" s="20"/>
      <c r="D92" s="26">
        <f>SUM(D90:D91)</f>
        <v>2.9699999999999998</v>
      </c>
      <c r="E92" s="25">
        <f>SUM(E90:E91)</f>
        <v>77.87</v>
      </c>
    </row>
    <row r="93" spans="1:6">
      <c r="A93" s="19"/>
      <c r="B93" s="20"/>
      <c r="C93" s="20"/>
      <c r="D93" s="26"/>
      <c r="E93" s="25"/>
    </row>
    <row r="94" spans="1:6">
      <c r="A94" s="20" t="s">
        <v>100</v>
      </c>
      <c r="B94" s="20">
        <v>400035</v>
      </c>
      <c r="C94" s="20" t="s">
        <v>101</v>
      </c>
      <c r="D94" s="21">
        <v>0.37</v>
      </c>
      <c r="E94" s="22">
        <v>10.63</v>
      </c>
    </row>
    <row r="95" spans="1:6">
      <c r="A95" s="19" t="s">
        <v>7</v>
      </c>
      <c r="B95" s="20"/>
      <c r="C95" s="20"/>
      <c r="D95" s="26">
        <v>0.37</v>
      </c>
      <c r="E95" s="25">
        <v>10.63</v>
      </c>
    </row>
    <row r="96" spans="1:6">
      <c r="A96" s="19"/>
      <c r="B96" s="20"/>
      <c r="C96" s="20"/>
      <c r="D96" s="26"/>
      <c r="E96" s="25"/>
    </row>
    <row r="97" spans="1:5">
      <c r="A97" s="20" t="s">
        <v>130</v>
      </c>
      <c r="B97" s="20">
        <v>450049</v>
      </c>
      <c r="C97" s="20" t="s">
        <v>129</v>
      </c>
      <c r="D97" s="21">
        <v>0.5</v>
      </c>
      <c r="E97" s="22">
        <v>8.25</v>
      </c>
    </row>
    <row r="98" spans="1:5">
      <c r="A98" s="20" t="s">
        <v>282</v>
      </c>
      <c r="B98" s="20">
        <v>450049</v>
      </c>
      <c r="C98" s="20" t="s">
        <v>129</v>
      </c>
      <c r="D98" s="21">
        <v>0.8</v>
      </c>
      <c r="E98" s="22">
        <v>19.309999999999999</v>
      </c>
    </row>
    <row r="99" spans="1:5">
      <c r="A99" s="19" t="s">
        <v>7</v>
      </c>
      <c r="B99" s="20"/>
      <c r="C99" s="20"/>
      <c r="D99" s="26">
        <f>SUM(D97:D98)</f>
        <v>1.3</v>
      </c>
      <c r="E99" s="25">
        <f>SUM(E97:E98)</f>
        <v>27.56</v>
      </c>
    </row>
    <row r="100" spans="1:5">
      <c r="A100" s="19"/>
      <c r="B100" s="20"/>
      <c r="C100" s="20"/>
      <c r="D100" s="26"/>
      <c r="E100" s="25"/>
    </row>
    <row r="101" spans="1:5">
      <c r="A101" s="20" t="s">
        <v>190</v>
      </c>
      <c r="B101" s="20">
        <v>450051</v>
      </c>
      <c r="C101" s="20" t="s">
        <v>104</v>
      </c>
      <c r="D101" s="21">
        <v>0.5</v>
      </c>
      <c r="E101" s="22">
        <v>6.75</v>
      </c>
    </row>
    <row r="102" spans="1:5">
      <c r="A102" s="20" t="s">
        <v>115</v>
      </c>
      <c r="B102" s="20">
        <v>450051</v>
      </c>
      <c r="C102" s="20" t="s">
        <v>104</v>
      </c>
      <c r="D102" s="21">
        <v>0.5</v>
      </c>
      <c r="E102" s="22">
        <v>8.09</v>
      </c>
    </row>
    <row r="103" spans="1:5">
      <c r="A103" s="20" t="s">
        <v>119</v>
      </c>
      <c r="B103" s="20">
        <v>450051</v>
      </c>
      <c r="C103" s="20" t="s">
        <v>104</v>
      </c>
      <c r="D103" s="21">
        <v>0.53</v>
      </c>
      <c r="E103" s="22">
        <v>8.98</v>
      </c>
    </row>
    <row r="104" spans="1:5">
      <c r="A104" s="20" t="s">
        <v>123</v>
      </c>
      <c r="B104" s="20">
        <v>450051</v>
      </c>
      <c r="C104" s="20" t="s">
        <v>104</v>
      </c>
      <c r="D104" s="21">
        <v>0.56999999999999995</v>
      </c>
      <c r="E104" s="22">
        <v>9.61</v>
      </c>
    </row>
    <row r="105" spans="1:5">
      <c r="A105" s="20" t="s">
        <v>117</v>
      </c>
      <c r="B105" s="20">
        <v>450051</v>
      </c>
      <c r="C105" s="20" t="s">
        <v>104</v>
      </c>
      <c r="D105" s="21">
        <v>0.62</v>
      </c>
      <c r="E105" s="22">
        <f>1.86+7.97</f>
        <v>9.83</v>
      </c>
    </row>
    <row r="106" spans="1:5">
      <c r="A106" s="20" t="s">
        <v>122</v>
      </c>
      <c r="B106" s="20">
        <v>450051</v>
      </c>
      <c r="C106" s="20" t="s">
        <v>104</v>
      </c>
      <c r="D106" s="21">
        <v>0.5</v>
      </c>
      <c r="E106" s="22">
        <v>7.04</v>
      </c>
    </row>
    <row r="107" spans="1:5">
      <c r="A107" s="20" t="s">
        <v>342</v>
      </c>
      <c r="B107" s="20">
        <v>450051</v>
      </c>
      <c r="C107" s="20" t="s">
        <v>104</v>
      </c>
      <c r="D107" s="21">
        <v>0.5</v>
      </c>
      <c r="E107" s="22">
        <v>8.25</v>
      </c>
    </row>
    <row r="108" spans="1:5">
      <c r="A108" s="20" t="s">
        <v>247</v>
      </c>
      <c r="B108" s="20">
        <v>450051</v>
      </c>
      <c r="C108" s="20" t="s">
        <v>104</v>
      </c>
      <c r="D108" s="21">
        <v>0.67</v>
      </c>
      <c r="E108" s="22">
        <v>9</v>
      </c>
    </row>
    <row r="109" spans="1:5">
      <c r="A109" s="20" t="s">
        <v>248</v>
      </c>
      <c r="B109" s="20">
        <v>450051</v>
      </c>
      <c r="C109" s="20" t="s">
        <v>104</v>
      </c>
      <c r="D109" s="21">
        <v>0.62</v>
      </c>
      <c r="E109" s="22">
        <v>8.33</v>
      </c>
    </row>
    <row r="110" spans="1:5">
      <c r="A110" s="20" t="s">
        <v>111</v>
      </c>
      <c r="B110" s="20">
        <v>450051</v>
      </c>
      <c r="C110" s="20" t="s">
        <v>104</v>
      </c>
      <c r="D110" s="21">
        <v>0.13</v>
      </c>
      <c r="E110" s="22">
        <v>2</v>
      </c>
    </row>
    <row r="111" spans="1:5">
      <c r="A111" s="20" t="s">
        <v>106</v>
      </c>
      <c r="B111" s="20">
        <v>450051</v>
      </c>
      <c r="C111" s="20" t="s">
        <v>104</v>
      </c>
      <c r="D111" s="21">
        <v>0.57999999999999996</v>
      </c>
      <c r="E111" s="22">
        <v>9.6300000000000008</v>
      </c>
    </row>
    <row r="112" spans="1:5">
      <c r="A112" s="20" t="s">
        <v>120</v>
      </c>
      <c r="B112" s="20">
        <v>450051</v>
      </c>
      <c r="C112" s="20" t="s">
        <v>104</v>
      </c>
      <c r="D112" s="21">
        <v>0.73</v>
      </c>
      <c r="E112" s="22">
        <v>12.69</v>
      </c>
    </row>
    <row r="113" spans="1:5">
      <c r="A113" s="20" t="s">
        <v>110</v>
      </c>
      <c r="B113" s="20">
        <v>450051</v>
      </c>
      <c r="C113" s="20" t="s">
        <v>104</v>
      </c>
      <c r="D113" s="21">
        <v>0.72</v>
      </c>
      <c r="E113" s="22">
        <v>12.09</v>
      </c>
    </row>
    <row r="114" spans="1:5">
      <c r="A114" s="20" t="s">
        <v>191</v>
      </c>
      <c r="B114" s="20">
        <v>450051</v>
      </c>
      <c r="C114" s="20" t="s">
        <v>104</v>
      </c>
      <c r="D114" s="21">
        <v>0.68</v>
      </c>
      <c r="E114" s="22">
        <v>10.51</v>
      </c>
    </row>
    <row r="115" spans="1:5">
      <c r="A115" s="20" t="s">
        <v>116</v>
      </c>
      <c r="B115" s="20">
        <v>450051</v>
      </c>
      <c r="C115" s="20" t="s">
        <v>104</v>
      </c>
      <c r="D115" s="21">
        <v>0.72</v>
      </c>
      <c r="E115" s="22">
        <v>10.8</v>
      </c>
    </row>
    <row r="116" spans="1:5">
      <c r="A116" s="20" t="s">
        <v>118</v>
      </c>
      <c r="B116" s="20">
        <v>450051</v>
      </c>
      <c r="C116" s="20" t="s">
        <v>104</v>
      </c>
      <c r="D116" s="21">
        <v>1.75</v>
      </c>
      <c r="E116" s="22">
        <v>39.380000000000003</v>
      </c>
    </row>
    <row r="117" spans="1:5">
      <c r="A117" s="20" t="s">
        <v>231</v>
      </c>
      <c r="B117" s="20">
        <v>450051</v>
      </c>
      <c r="C117" s="20" t="s">
        <v>104</v>
      </c>
      <c r="D117" s="21">
        <v>0.68</v>
      </c>
      <c r="E117" s="22">
        <v>9.23</v>
      </c>
    </row>
    <row r="118" spans="1:5">
      <c r="A118" s="20" t="s">
        <v>233</v>
      </c>
      <c r="B118" s="20">
        <v>450051</v>
      </c>
      <c r="C118" s="20" t="s">
        <v>104</v>
      </c>
      <c r="D118" s="21">
        <v>0.73</v>
      </c>
      <c r="E118" s="22">
        <v>9.9</v>
      </c>
    </row>
    <row r="119" spans="1:5">
      <c r="A119" s="20" t="s">
        <v>343</v>
      </c>
      <c r="B119" s="20">
        <v>450051</v>
      </c>
      <c r="C119" s="20" t="s">
        <v>104</v>
      </c>
      <c r="D119" s="21">
        <v>0.56999999999999995</v>
      </c>
      <c r="E119" s="22">
        <v>7.65</v>
      </c>
    </row>
    <row r="120" spans="1:5">
      <c r="A120" s="20" t="s">
        <v>105</v>
      </c>
      <c r="B120" s="20">
        <v>450051</v>
      </c>
      <c r="C120" s="20" t="s">
        <v>104</v>
      </c>
      <c r="D120" s="21">
        <v>0.5</v>
      </c>
      <c r="E120" s="22">
        <v>8.15</v>
      </c>
    </row>
    <row r="121" spans="1:5">
      <c r="A121" s="19" t="s">
        <v>7</v>
      </c>
      <c r="B121" s="20"/>
      <c r="C121" s="20"/>
      <c r="D121" s="26">
        <f>SUM(D101:D120)</f>
        <v>12.8</v>
      </c>
      <c r="E121" s="25">
        <f>SUM(E101:E120)</f>
        <v>207.91</v>
      </c>
    </row>
    <row r="122" spans="1:5">
      <c r="A122" s="20"/>
      <c r="B122" s="20"/>
      <c r="C122" s="20"/>
      <c r="D122" s="21"/>
      <c r="E122" s="22"/>
    </row>
    <row r="123" spans="1:5">
      <c r="A123" s="20" t="s">
        <v>124</v>
      </c>
      <c r="B123" s="20">
        <v>450051</v>
      </c>
      <c r="C123" s="20" t="s">
        <v>126</v>
      </c>
      <c r="D123" s="21">
        <v>0.2</v>
      </c>
      <c r="E123" s="22">
        <v>4.5</v>
      </c>
    </row>
    <row r="124" spans="1:5">
      <c r="A124" s="19" t="s">
        <v>7</v>
      </c>
      <c r="B124" s="20"/>
      <c r="C124" s="20"/>
      <c r="D124" s="26">
        <v>0.2</v>
      </c>
      <c r="E124" s="25">
        <v>4.5</v>
      </c>
    </row>
    <row r="125" spans="1:5">
      <c r="A125" s="20"/>
      <c r="B125" s="20"/>
      <c r="C125" s="20"/>
      <c r="D125" s="21"/>
      <c r="E125" s="22"/>
    </row>
    <row r="126" spans="1:5">
      <c r="A126" s="19" t="s">
        <v>194</v>
      </c>
      <c r="B126" s="20"/>
      <c r="C126" s="20"/>
      <c r="D126" s="26">
        <v>407.64</v>
      </c>
      <c r="E126" s="26">
        <v>8844.92</v>
      </c>
    </row>
    <row r="127" spans="1:5">
      <c r="A127" s="20"/>
      <c r="B127" s="20"/>
      <c r="C127" s="20"/>
      <c r="D127" s="21"/>
      <c r="E127" s="22"/>
    </row>
    <row r="128" spans="1:5">
      <c r="A128" s="19"/>
      <c r="B128" s="20"/>
      <c r="C128" s="20"/>
      <c r="D128" s="26"/>
      <c r="E128" s="25"/>
    </row>
    <row r="129" spans="1:5">
      <c r="A129" s="20"/>
      <c r="B129" s="20"/>
      <c r="C129" s="20"/>
      <c r="D129" s="21"/>
      <c r="E129" s="22"/>
    </row>
    <row r="130" spans="1:5">
      <c r="A130" s="20"/>
      <c r="B130" s="20"/>
      <c r="C130" s="20"/>
      <c r="D130" s="21"/>
      <c r="E130" s="22"/>
    </row>
    <row r="131" spans="1:5">
      <c r="A131" s="19"/>
      <c r="B131" s="20"/>
      <c r="C131" s="20"/>
      <c r="D131" s="26"/>
      <c r="E131" s="25"/>
    </row>
    <row r="132" spans="1:5">
      <c r="A132" s="19"/>
      <c r="B132" s="20"/>
      <c r="C132" s="20"/>
      <c r="D132" s="26"/>
      <c r="E132" s="25"/>
    </row>
    <row r="133" spans="1:5">
      <c r="A133" s="20"/>
      <c r="B133" s="20"/>
      <c r="C133" s="20"/>
      <c r="D133" s="21"/>
      <c r="E133" s="22"/>
    </row>
  </sheetData>
  <mergeCells count="1">
    <mergeCell ref="G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7"/>
  <sheetViews>
    <sheetView workbookViewId="0">
      <pane ySplit="1" topLeftCell="A131" activePane="bottomLeft" state="frozenSplit"/>
      <selection pane="bottomLeft" activeCell="E147" sqref="E147"/>
    </sheetView>
  </sheetViews>
  <sheetFormatPr defaultRowHeight="12.75"/>
  <cols>
    <col min="1" max="1" width="31.7109375" customWidth="1"/>
    <col min="2" max="2" width="22.7109375" customWidth="1"/>
    <col min="3" max="3" width="36.7109375" customWidth="1"/>
    <col min="4" max="4" width="22.7109375" customWidth="1"/>
    <col min="5" max="5" width="25.7109375" customWidth="1"/>
  </cols>
  <sheetData>
    <row r="1" spans="1:5">
      <c r="A1" s="1" t="s">
        <v>147</v>
      </c>
      <c r="B1" s="1" t="s">
        <v>148</v>
      </c>
      <c r="C1" s="1" t="s">
        <v>149</v>
      </c>
      <c r="D1" s="1" t="s">
        <v>150</v>
      </c>
      <c r="E1" s="1" t="s">
        <v>151</v>
      </c>
    </row>
    <row r="2" spans="1:5">
      <c r="A2" s="6" t="s">
        <v>20</v>
      </c>
      <c r="B2" s="6" t="s">
        <v>152</v>
      </c>
      <c r="C2" s="6" t="s">
        <v>15</v>
      </c>
      <c r="D2" s="7">
        <v>1.55</v>
      </c>
      <c r="E2" s="8">
        <v>39.53</v>
      </c>
    </row>
    <row r="3" spans="1:5">
      <c r="A3" s="6" t="s">
        <v>153</v>
      </c>
      <c r="B3" s="6" t="s">
        <v>152</v>
      </c>
      <c r="C3" s="6" t="s">
        <v>15</v>
      </c>
      <c r="D3" s="7">
        <v>2.87</v>
      </c>
      <c r="E3" s="8">
        <v>70.56</v>
      </c>
    </row>
    <row r="4" spans="1:5">
      <c r="A4" s="6" t="s">
        <v>18</v>
      </c>
      <c r="B4" s="6" t="s">
        <v>152</v>
      </c>
      <c r="C4" s="6" t="s">
        <v>15</v>
      </c>
      <c r="D4" s="7">
        <v>1.67</v>
      </c>
      <c r="E4" s="8">
        <v>45.5</v>
      </c>
    </row>
    <row r="5" spans="1:5">
      <c r="A5" s="6" t="s">
        <v>19</v>
      </c>
      <c r="B5" s="6" t="s">
        <v>152</v>
      </c>
      <c r="C5" s="6" t="s">
        <v>15</v>
      </c>
      <c r="D5" s="7">
        <v>2.1800000000000002</v>
      </c>
      <c r="E5" s="8">
        <v>65.17</v>
      </c>
    </row>
    <row r="6" spans="1:5">
      <c r="A6" s="6" t="s">
        <v>21</v>
      </c>
      <c r="B6" s="6" t="s">
        <v>152</v>
      </c>
      <c r="C6" s="6" t="s">
        <v>15</v>
      </c>
      <c r="D6" s="7">
        <v>3.87</v>
      </c>
      <c r="E6" s="8">
        <v>120.7</v>
      </c>
    </row>
    <row r="7" spans="1:5">
      <c r="A7" s="204" t="s">
        <v>7</v>
      </c>
      <c r="B7" s="6"/>
      <c r="C7" s="6"/>
      <c r="D7" s="205">
        <f>SUM(D2:D6)</f>
        <v>12.14</v>
      </c>
      <c r="E7" s="206">
        <f>SUM(E2:E6)</f>
        <v>341.46</v>
      </c>
    </row>
    <row r="8" spans="1:5">
      <c r="A8" s="6"/>
      <c r="B8" s="6"/>
      <c r="C8" s="6"/>
      <c r="D8" s="7"/>
      <c r="E8" s="8"/>
    </row>
    <row r="9" spans="1:5">
      <c r="A9" s="6" t="s">
        <v>22</v>
      </c>
      <c r="B9" s="6" t="s">
        <v>154</v>
      </c>
      <c r="C9" s="6" t="s">
        <v>23</v>
      </c>
      <c r="D9" s="7">
        <v>2.65</v>
      </c>
      <c r="E9" s="8">
        <v>78.349999999999994</v>
      </c>
    </row>
    <row r="10" spans="1:5">
      <c r="A10" s="204" t="s">
        <v>7</v>
      </c>
      <c r="B10" s="6"/>
      <c r="C10" s="6"/>
      <c r="D10" s="207">
        <v>2.65</v>
      </c>
      <c r="E10" s="206">
        <v>78.349999999999994</v>
      </c>
    </row>
    <row r="11" spans="1:5">
      <c r="A11" s="6"/>
      <c r="B11" s="6"/>
      <c r="C11" s="6"/>
      <c r="D11" s="7"/>
      <c r="E11" s="8"/>
    </row>
    <row r="12" spans="1:5">
      <c r="A12" s="6" t="s">
        <v>30</v>
      </c>
      <c r="B12" s="6" t="s">
        <v>155</v>
      </c>
      <c r="C12" s="6" t="s">
        <v>31</v>
      </c>
      <c r="D12" s="7">
        <v>0.83</v>
      </c>
      <c r="E12" s="8">
        <v>21.25</v>
      </c>
    </row>
    <row r="13" spans="1:5">
      <c r="A13" s="204" t="s">
        <v>7</v>
      </c>
      <c r="B13" s="6"/>
      <c r="C13" s="6"/>
      <c r="D13" s="207">
        <v>0.83</v>
      </c>
      <c r="E13" s="206">
        <v>21.25</v>
      </c>
    </row>
    <row r="14" spans="1:5">
      <c r="A14" s="6"/>
      <c r="B14" s="6"/>
      <c r="C14" s="6"/>
      <c r="D14" s="7"/>
      <c r="E14" s="8"/>
    </row>
    <row r="15" spans="1:5">
      <c r="A15" s="6" t="s">
        <v>14</v>
      </c>
      <c r="B15" s="6" t="s">
        <v>156</v>
      </c>
      <c r="C15" s="6" t="s">
        <v>91</v>
      </c>
      <c r="D15" s="7">
        <v>18.98</v>
      </c>
      <c r="E15" s="8">
        <v>469.27</v>
      </c>
    </row>
    <row r="16" spans="1:5">
      <c r="A16" s="6" t="s">
        <v>94</v>
      </c>
      <c r="B16" s="6" t="s">
        <v>156</v>
      </c>
      <c r="C16" s="6" t="s">
        <v>91</v>
      </c>
      <c r="D16" s="7">
        <v>9.02</v>
      </c>
      <c r="E16" s="8">
        <v>222.89</v>
      </c>
    </row>
    <row r="17" spans="1:5">
      <c r="A17" s="6" t="s">
        <v>92</v>
      </c>
      <c r="B17" s="6" t="s">
        <v>156</v>
      </c>
      <c r="C17" s="6" t="s">
        <v>91</v>
      </c>
      <c r="D17" s="7">
        <v>6.48</v>
      </c>
      <c r="E17" s="8">
        <v>166.59</v>
      </c>
    </row>
    <row r="18" spans="1:5">
      <c r="A18" s="204" t="s">
        <v>7</v>
      </c>
      <c r="B18" s="6"/>
      <c r="C18" s="6"/>
      <c r="D18" s="207">
        <f>SUM(D15:D17)</f>
        <v>34.480000000000004</v>
      </c>
      <c r="E18" s="206">
        <f>SUM(E15:E17)</f>
        <v>858.75</v>
      </c>
    </row>
    <row r="19" spans="1:5">
      <c r="A19" s="6"/>
      <c r="B19" s="6"/>
      <c r="C19" s="6"/>
      <c r="D19" s="7"/>
      <c r="E19" s="8"/>
    </row>
    <row r="20" spans="1:5">
      <c r="A20" s="6" t="s">
        <v>83</v>
      </c>
      <c r="B20" s="6" t="s">
        <v>157</v>
      </c>
      <c r="C20" s="6" t="s">
        <v>66</v>
      </c>
      <c r="D20" s="7">
        <v>16.57</v>
      </c>
      <c r="E20" s="8">
        <v>291.99</v>
      </c>
    </row>
    <row r="21" spans="1:5">
      <c r="A21" s="6" t="s">
        <v>90</v>
      </c>
      <c r="B21" s="6" t="s">
        <v>157</v>
      </c>
      <c r="C21" s="6" t="s">
        <v>66</v>
      </c>
      <c r="D21" s="7">
        <f>8.08</f>
        <v>8.08</v>
      </c>
      <c r="E21" s="8">
        <v>212.19</v>
      </c>
    </row>
    <row r="22" spans="1:5">
      <c r="A22" s="6" t="s">
        <v>73</v>
      </c>
      <c r="B22" s="6" t="s">
        <v>157</v>
      </c>
      <c r="C22" s="6" t="s">
        <v>66</v>
      </c>
      <c r="D22" s="7">
        <v>27.58</v>
      </c>
      <c r="E22" s="8">
        <v>426.11</v>
      </c>
    </row>
    <row r="23" spans="1:5">
      <c r="A23" s="2" t="s">
        <v>158</v>
      </c>
      <c r="B23" s="3" t="s">
        <v>157</v>
      </c>
      <c r="C23" s="2" t="s">
        <v>66</v>
      </c>
      <c r="D23" s="7">
        <v>6.78</v>
      </c>
      <c r="E23" s="8">
        <f>6.78*(16.54*1.5)</f>
        <v>168.21180000000001</v>
      </c>
    </row>
    <row r="24" spans="1:5">
      <c r="A24" s="6" t="s">
        <v>81</v>
      </c>
      <c r="B24" s="6" t="s">
        <v>157</v>
      </c>
      <c r="C24" s="6" t="s">
        <v>66</v>
      </c>
      <c r="D24" s="7">
        <v>0.17</v>
      </c>
      <c r="E24" s="8">
        <v>3.32</v>
      </c>
    </row>
    <row r="25" spans="1:5">
      <c r="A25" s="6" t="s">
        <v>75</v>
      </c>
      <c r="B25" s="6" t="s">
        <v>157</v>
      </c>
      <c r="C25" s="6" t="s">
        <v>66</v>
      </c>
      <c r="D25" s="7">
        <v>0.55000000000000004</v>
      </c>
      <c r="E25" s="8">
        <v>9.9</v>
      </c>
    </row>
    <row r="26" spans="1:5">
      <c r="A26" s="6" t="s">
        <v>74</v>
      </c>
      <c r="B26" s="6" t="s">
        <v>157</v>
      </c>
      <c r="C26" s="6" t="s">
        <v>66</v>
      </c>
      <c r="D26" s="7">
        <v>5.55</v>
      </c>
      <c r="E26" s="8">
        <v>108.23</v>
      </c>
    </row>
    <row r="27" spans="1:5">
      <c r="A27" s="6" t="s">
        <v>87</v>
      </c>
      <c r="B27" s="6" t="s">
        <v>157</v>
      </c>
      <c r="C27" s="6" t="s">
        <v>66</v>
      </c>
      <c r="D27" s="7">
        <v>15.78</v>
      </c>
      <c r="E27" s="8">
        <v>343.29</v>
      </c>
    </row>
    <row r="28" spans="1:5">
      <c r="A28" s="6" t="s">
        <v>89</v>
      </c>
      <c r="B28" s="6" t="s">
        <v>157</v>
      </c>
      <c r="C28" s="6" t="s">
        <v>66</v>
      </c>
      <c r="D28" s="7">
        <v>5.3</v>
      </c>
      <c r="E28" s="8">
        <v>91.43</v>
      </c>
    </row>
    <row r="29" spans="1:5">
      <c r="A29" s="6" t="s">
        <v>86</v>
      </c>
      <c r="B29" s="6" t="s">
        <v>157</v>
      </c>
      <c r="C29" s="6" t="s">
        <v>66</v>
      </c>
      <c r="D29" s="7">
        <v>27.68</v>
      </c>
      <c r="E29" s="8">
        <v>539.83000000000004</v>
      </c>
    </row>
    <row r="30" spans="1:5">
      <c r="A30" s="6" t="s">
        <v>84</v>
      </c>
      <c r="B30" s="6" t="s">
        <v>157</v>
      </c>
      <c r="C30" s="6" t="s">
        <v>66</v>
      </c>
      <c r="D30" s="7">
        <v>2.5299999999999998</v>
      </c>
      <c r="E30" s="8">
        <v>43.7</v>
      </c>
    </row>
    <row r="31" spans="1:5">
      <c r="A31" s="6" t="s">
        <v>85</v>
      </c>
      <c r="B31" s="6" t="s">
        <v>157</v>
      </c>
      <c r="C31" s="6" t="s">
        <v>66</v>
      </c>
      <c r="D31" s="7">
        <v>20.82</v>
      </c>
      <c r="E31" s="8">
        <v>405.93</v>
      </c>
    </row>
    <row r="32" spans="1:5">
      <c r="A32" s="6" t="s">
        <v>159</v>
      </c>
      <c r="B32" s="6" t="s">
        <v>157</v>
      </c>
      <c r="C32" s="6" t="s">
        <v>66</v>
      </c>
      <c r="D32" s="7">
        <v>14.25</v>
      </c>
      <c r="E32" s="8">
        <v>277.88</v>
      </c>
    </row>
    <row r="33" spans="1:5">
      <c r="A33" s="6" t="s">
        <v>88</v>
      </c>
      <c r="B33" s="6" t="s">
        <v>157</v>
      </c>
      <c r="C33" s="6" t="s">
        <v>66</v>
      </c>
      <c r="D33" s="7">
        <v>16.350000000000001</v>
      </c>
      <c r="E33" s="8">
        <v>282.04000000000002</v>
      </c>
    </row>
    <row r="34" spans="1:5">
      <c r="A34" s="6" t="s">
        <v>35</v>
      </c>
      <c r="B34" s="6" t="s">
        <v>157</v>
      </c>
      <c r="C34" s="6" t="s">
        <v>66</v>
      </c>
      <c r="D34" s="7">
        <v>45.72</v>
      </c>
      <c r="E34" s="8">
        <v>1005.31</v>
      </c>
    </row>
    <row r="35" spans="1:5">
      <c r="A35" s="6" t="s">
        <v>65</v>
      </c>
      <c r="B35" s="6" t="s">
        <v>157</v>
      </c>
      <c r="C35" s="6" t="s">
        <v>66</v>
      </c>
      <c r="D35" s="7">
        <v>3.8</v>
      </c>
      <c r="E35" s="8">
        <f>3.8*(16.54*1.5)</f>
        <v>94.277999999999992</v>
      </c>
    </row>
    <row r="36" spans="1:5">
      <c r="A36" s="6" t="s">
        <v>79</v>
      </c>
      <c r="B36" s="6" t="s">
        <v>157</v>
      </c>
      <c r="C36" s="6" t="s">
        <v>66</v>
      </c>
      <c r="D36" s="7">
        <v>34.979999999999997</v>
      </c>
      <c r="E36" s="8">
        <v>813.36</v>
      </c>
    </row>
    <row r="37" spans="1:5">
      <c r="A37" s="6" t="s">
        <v>160</v>
      </c>
      <c r="B37" s="6" t="s">
        <v>157</v>
      </c>
      <c r="C37" s="6" t="s">
        <v>66</v>
      </c>
      <c r="D37" s="7">
        <v>25.48</v>
      </c>
      <c r="E37" s="8">
        <v>496.93</v>
      </c>
    </row>
    <row r="38" spans="1:5">
      <c r="A38" s="6" t="s">
        <v>76</v>
      </c>
      <c r="B38" s="6" t="s">
        <v>157</v>
      </c>
      <c r="C38" s="6" t="s">
        <v>66</v>
      </c>
      <c r="D38" s="7">
        <v>2.82</v>
      </c>
      <c r="E38" s="8">
        <v>50.7</v>
      </c>
    </row>
    <row r="39" spans="1:5">
      <c r="A39" s="6" t="s">
        <v>161</v>
      </c>
      <c r="B39" s="6" t="s">
        <v>157</v>
      </c>
      <c r="C39" s="6" t="s">
        <v>66</v>
      </c>
      <c r="D39" s="7">
        <v>3.43</v>
      </c>
      <c r="E39" s="8">
        <v>66.89</v>
      </c>
    </row>
    <row r="40" spans="1:5">
      <c r="A40" s="6" t="s">
        <v>78</v>
      </c>
      <c r="B40" s="6" t="s">
        <v>157</v>
      </c>
      <c r="C40" s="6" t="s">
        <v>66</v>
      </c>
      <c r="D40" s="7">
        <v>5.38</v>
      </c>
      <c r="E40" s="8">
        <v>96.58</v>
      </c>
    </row>
    <row r="41" spans="1:5">
      <c r="A41" s="204" t="s">
        <v>7</v>
      </c>
      <c r="B41" s="6"/>
      <c r="C41" s="6"/>
      <c r="D41" s="207">
        <f>SUM(D20:D40)</f>
        <v>289.59999999999997</v>
      </c>
      <c r="E41" s="206">
        <f>SUM(E20:E40)</f>
        <v>5828.0998</v>
      </c>
    </row>
    <row r="42" spans="1:5">
      <c r="A42" s="6"/>
      <c r="B42" s="6"/>
      <c r="C42" s="6"/>
      <c r="D42" s="7"/>
      <c r="E42" s="8"/>
    </row>
    <row r="43" spans="1:5">
      <c r="A43" s="6" t="s">
        <v>52</v>
      </c>
      <c r="B43" s="6" t="s">
        <v>162</v>
      </c>
      <c r="C43" s="6" t="s">
        <v>51</v>
      </c>
      <c r="D43" s="7">
        <v>12.8</v>
      </c>
      <c r="E43" s="8">
        <v>278.39999999999998</v>
      </c>
    </row>
    <row r="44" spans="1:5">
      <c r="A44" s="6" t="s">
        <v>163</v>
      </c>
      <c r="B44" s="6" t="s">
        <v>162</v>
      </c>
      <c r="C44" s="6" t="s">
        <v>51</v>
      </c>
      <c r="D44" s="7">
        <v>39.18</v>
      </c>
      <c r="E44" s="8">
        <f>772.4+168</f>
        <v>940.4</v>
      </c>
    </row>
    <row r="45" spans="1:5">
      <c r="A45" s="204" t="s">
        <v>7</v>
      </c>
      <c r="B45" s="6"/>
      <c r="C45" s="6"/>
      <c r="D45" s="207">
        <f>SUM(D43:D44)</f>
        <v>51.980000000000004</v>
      </c>
      <c r="E45" s="206">
        <f>SUM(E43:E44)</f>
        <v>1218.8</v>
      </c>
    </row>
    <row r="46" spans="1:5">
      <c r="A46" s="6"/>
      <c r="B46" s="6"/>
      <c r="C46" s="6"/>
      <c r="D46" s="7"/>
      <c r="E46" s="8"/>
    </row>
    <row r="47" spans="1:5">
      <c r="A47" s="6" t="s">
        <v>63</v>
      </c>
      <c r="B47" s="6" t="s">
        <v>164</v>
      </c>
      <c r="C47" s="6" t="s">
        <v>60</v>
      </c>
      <c r="D47" s="7">
        <v>5.58</v>
      </c>
      <c r="E47" s="8">
        <v>96.31</v>
      </c>
    </row>
    <row r="48" spans="1:5">
      <c r="A48" s="6" t="s">
        <v>64</v>
      </c>
      <c r="B48" s="6" t="s">
        <v>164</v>
      </c>
      <c r="C48" s="6" t="s">
        <v>60</v>
      </c>
      <c r="D48" s="7">
        <v>27.13</v>
      </c>
      <c r="E48" s="8">
        <v>447.7</v>
      </c>
    </row>
    <row r="49" spans="1:5">
      <c r="A49" s="204" t="s">
        <v>7</v>
      </c>
      <c r="B49" s="6"/>
      <c r="C49" s="6"/>
      <c r="D49" s="207">
        <f>SUM(D47:D48)</f>
        <v>32.71</v>
      </c>
      <c r="E49" s="206">
        <f>SUM(E47:E48)</f>
        <v>544.01</v>
      </c>
    </row>
    <row r="50" spans="1:5">
      <c r="A50" s="6"/>
      <c r="B50" s="6"/>
      <c r="C50" s="6"/>
      <c r="D50" s="7"/>
      <c r="E50" s="8"/>
    </row>
    <row r="51" spans="1:5">
      <c r="A51" s="2" t="s">
        <v>48</v>
      </c>
      <c r="B51" s="3" t="s">
        <v>165</v>
      </c>
      <c r="C51" s="2" t="s">
        <v>45</v>
      </c>
      <c r="D51" s="7">
        <v>0.57999999999999996</v>
      </c>
      <c r="E51" s="8">
        <v>10.5</v>
      </c>
    </row>
    <row r="52" spans="1:5">
      <c r="A52" s="204" t="s">
        <v>7</v>
      </c>
      <c r="B52" s="3"/>
      <c r="C52" s="2"/>
      <c r="D52" s="207">
        <v>0.57999999999999996</v>
      </c>
      <c r="E52" s="206">
        <v>10.5</v>
      </c>
    </row>
    <row r="53" spans="1:5">
      <c r="A53" s="2"/>
      <c r="B53" s="3"/>
      <c r="C53" s="2"/>
      <c r="D53" s="7"/>
      <c r="E53" s="8"/>
    </row>
    <row r="54" spans="1:5">
      <c r="A54" s="6" t="s">
        <v>166</v>
      </c>
      <c r="B54" s="6" t="s">
        <v>167</v>
      </c>
      <c r="C54" s="6" t="s">
        <v>54</v>
      </c>
      <c r="D54" s="7">
        <v>9.68</v>
      </c>
      <c r="E54" s="8">
        <v>217.8</v>
      </c>
    </row>
    <row r="55" spans="1:5">
      <c r="A55" s="6" t="s">
        <v>168</v>
      </c>
      <c r="B55" s="6" t="s">
        <v>167</v>
      </c>
      <c r="C55" s="6" t="s">
        <v>54</v>
      </c>
      <c r="D55" s="7">
        <v>0.05</v>
      </c>
      <c r="E55" s="8">
        <v>1.1299999999999999</v>
      </c>
    </row>
    <row r="56" spans="1:5">
      <c r="A56" s="6" t="s">
        <v>169</v>
      </c>
      <c r="B56" s="6" t="s">
        <v>167</v>
      </c>
      <c r="C56" s="6" t="s">
        <v>54</v>
      </c>
      <c r="D56" s="7">
        <v>1.85</v>
      </c>
      <c r="E56" s="8">
        <v>41.63</v>
      </c>
    </row>
    <row r="57" spans="1:5">
      <c r="A57" s="6" t="s">
        <v>55</v>
      </c>
      <c r="B57" s="6" t="s">
        <v>167</v>
      </c>
      <c r="C57" s="6" t="s">
        <v>54</v>
      </c>
      <c r="D57" s="7">
        <v>3.72</v>
      </c>
      <c r="E57" s="8">
        <v>78.12</v>
      </c>
    </row>
    <row r="58" spans="1:5">
      <c r="A58" s="6" t="s">
        <v>58</v>
      </c>
      <c r="B58" s="6" t="s">
        <v>167</v>
      </c>
      <c r="C58" s="6" t="s">
        <v>54</v>
      </c>
      <c r="D58" s="7">
        <v>1.82</v>
      </c>
      <c r="E58" s="8">
        <v>44.96</v>
      </c>
    </row>
    <row r="59" spans="1:5">
      <c r="A59" s="6" t="s">
        <v>57</v>
      </c>
      <c r="B59" s="6" t="s">
        <v>167</v>
      </c>
      <c r="C59" s="6" t="s">
        <v>54</v>
      </c>
      <c r="D59" s="7">
        <v>2.2200000000000002</v>
      </c>
      <c r="E59" s="8">
        <v>48.21</v>
      </c>
    </row>
    <row r="60" spans="1:5">
      <c r="A60" s="204" t="s">
        <v>7</v>
      </c>
      <c r="B60" s="6"/>
      <c r="C60" s="6"/>
      <c r="D60" s="207">
        <f>SUM(D54:D59)</f>
        <v>19.34</v>
      </c>
      <c r="E60" s="206">
        <f>SUM(E54:E59)</f>
        <v>431.84999999999997</v>
      </c>
    </row>
    <row r="61" spans="1:5">
      <c r="A61" s="6"/>
      <c r="B61" s="6"/>
      <c r="C61" s="6"/>
      <c r="D61" s="7"/>
      <c r="E61" s="8"/>
    </row>
    <row r="62" spans="1:5">
      <c r="A62" s="6" t="s">
        <v>42</v>
      </c>
      <c r="B62" s="6" t="s">
        <v>170</v>
      </c>
      <c r="C62" s="6" t="s">
        <v>43</v>
      </c>
      <c r="D62" s="7">
        <v>23.52</v>
      </c>
      <c r="E62" s="8">
        <v>696.78</v>
      </c>
    </row>
    <row r="63" spans="1:5">
      <c r="A63" s="204" t="s">
        <v>7</v>
      </c>
      <c r="B63" s="6"/>
      <c r="C63" s="6"/>
      <c r="D63" s="207">
        <v>23.52</v>
      </c>
      <c r="E63" s="206">
        <v>696.78</v>
      </c>
    </row>
    <row r="64" spans="1:5">
      <c r="A64" s="6"/>
      <c r="B64" s="6"/>
      <c r="C64" s="6"/>
      <c r="D64" s="7"/>
      <c r="E64" s="8"/>
    </row>
    <row r="65" spans="1:5">
      <c r="A65" s="6" t="s">
        <v>27</v>
      </c>
      <c r="B65" s="6" t="s">
        <v>171</v>
      </c>
      <c r="C65" s="6" t="s">
        <v>25</v>
      </c>
      <c r="D65" s="7">
        <v>7.35</v>
      </c>
      <c r="E65" s="8">
        <v>193.05</v>
      </c>
    </row>
    <row r="66" spans="1:5">
      <c r="A66" s="6" t="s">
        <v>24</v>
      </c>
      <c r="B66" s="6" t="s">
        <v>171</v>
      </c>
      <c r="C66" s="6" t="s">
        <v>25</v>
      </c>
      <c r="D66" s="7">
        <v>1.67</v>
      </c>
      <c r="E66" s="8">
        <v>43.75</v>
      </c>
    </row>
    <row r="67" spans="1:5">
      <c r="A67" s="6" t="s">
        <v>26</v>
      </c>
      <c r="B67" s="6" t="s">
        <v>171</v>
      </c>
      <c r="C67" s="6" t="s">
        <v>25</v>
      </c>
      <c r="D67" s="7">
        <v>7.13</v>
      </c>
      <c r="E67" s="8">
        <v>181.9</v>
      </c>
    </row>
    <row r="68" spans="1:5">
      <c r="A68" s="204" t="s">
        <v>7</v>
      </c>
      <c r="B68" s="6"/>
      <c r="C68" s="6"/>
      <c r="D68" s="207">
        <f>SUM(D65:D67)</f>
        <v>16.149999999999999</v>
      </c>
      <c r="E68" s="206">
        <f>SUM(E65:E67)</f>
        <v>418.70000000000005</v>
      </c>
    </row>
    <row r="69" spans="1:5">
      <c r="A69" s="6"/>
      <c r="B69" s="6"/>
      <c r="C69" s="6"/>
      <c r="D69" s="7"/>
      <c r="E69" s="8"/>
    </row>
    <row r="70" spans="1:5">
      <c r="A70" s="6" t="s">
        <v>11</v>
      </c>
      <c r="B70" s="6" t="s">
        <v>172</v>
      </c>
      <c r="C70" s="6" t="s">
        <v>12</v>
      </c>
      <c r="D70" s="7">
        <v>4.88</v>
      </c>
      <c r="E70" s="8">
        <v>157.49</v>
      </c>
    </row>
    <row r="71" spans="1:5">
      <c r="A71" s="6" t="s">
        <v>13</v>
      </c>
      <c r="B71" s="6" t="s">
        <v>172</v>
      </c>
      <c r="C71" s="6" t="s">
        <v>12</v>
      </c>
      <c r="D71" s="7">
        <v>12.08</v>
      </c>
      <c r="E71" s="8">
        <v>435.73</v>
      </c>
    </row>
    <row r="72" spans="1:5">
      <c r="A72" s="204" t="s">
        <v>7</v>
      </c>
      <c r="B72" s="6"/>
      <c r="C72" s="6"/>
      <c r="D72" s="207">
        <f>SUM(D70:D71)</f>
        <v>16.96</v>
      </c>
      <c r="E72" s="206">
        <f>SUM(E70:E71)</f>
        <v>593.22</v>
      </c>
    </row>
    <row r="73" spans="1:5">
      <c r="A73" s="6"/>
      <c r="B73" s="6"/>
      <c r="C73" s="6"/>
      <c r="D73" s="7"/>
      <c r="E73" s="8"/>
    </row>
    <row r="74" spans="1:5">
      <c r="A74" s="6" t="s">
        <v>173</v>
      </c>
      <c r="B74" s="6" t="s">
        <v>174</v>
      </c>
      <c r="C74" s="6" t="s">
        <v>34</v>
      </c>
      <c r="D74" s="7">
        <v>4.5199999999999996</v>
      </c>
      <c r="E74" s="8">
        <v>71.19</v>
      </c>
    </row>
    <row r="75" spans="1:5">
      <c r="A75" s="6" t="s">
        <v>175</v>
      </c>
      <c r="B75" s="6" t="s">
        <v>174</v>
      </c>
      <c r="C75" s="6" t="s">
        <v>34</v>
      </c>
      <c r="D75" s="7">
        <v>25.63</v>
      </c>
      <c r="E75" s="8">
        <v>413.29</v>
      </c>
    </row>
    <row r="76" spans="1:5">
      <c r="A76" s="6" t="s">
        <v>37</v>
      </c>
      <c r="B76" s="6" t="s">
        <v>174</v>
      </c>
      <c r="C76" s="6" t="s">
        <v>34</v>
      </c>
      <c r="D76" s="7">
        <v>16.89</v>
      </c>
      <c r="E76" s="8">
        <f>62.31+286.42</f>
        <v>348.73</v>
      </c>
    </row>
    <row r="77" spans="1:5">
      <c r="A77" s="6" t="s">
        <v>38</v>
      </c>
      <c r="B77" s="6" t="s">
        <v>174</v>
      </c>
      <c r="C77" s="6" t="s">
        <v>34</v>
      </c>
      <c r="D77" s="7">
        <f>20.9+30.53</f>
        <v>51.43</v>
      </c>
      <c r="E77" s="8">
        <f>485.93+709.9</f>
        <v>1195.83</v>
      </c>
    </row>
    <row r="78" spans="1:5">
      <c r="A78" s="204" t="s">
        <v>7</v>
      </c>
      <c r="B78" s="6"/>
      <c r="C78" s="6"/>
      <c r="D78" s="207">
        <f>SUM(D74:D77)</f>
        <v>98.47</v>
      </c>
      <c r="E78" s="206">
        <f>SUM(E74:E77)</f>
        <v>2029.04</v>
      </c>
    </row>
    <row r="79" spans="1:5">
      <c r="A79" s="6"/>
      <c r="B79" s="6"/>
      <c r="C79" s="6"/>
      <c r="D79" s="7"/>
      <c r="E79" s="8"/>
    </row>
    <row r="80" spans="1:5">
      <c r="A80" s="6" t="s">
        <v>8</v>
      </c>
      <c r="B80" s="6" t="s">
        <v>176</v>
      </c>
      <c r="C80" s="6" t="s">
        <v>9</v>
      </c>
      <c r="D80" s="7">
        <v>0.05</v>
      </c>
      <c r="E80" s="8">
        <v>1.45</v>
      </c>
    </row>
    <row r="81" spans="1:5">
      <c r="A81" s="204" t="s">
        <v>7</v>
      </c>
      <c r="B81" s="6"/>
      <c r="C81" s="6"/>
      <c r="D81" s="207">
        <v>0.05</v>
      </c>
      <c r="E81" s="206">
        <v>1.45</v>
      </c>
    </row>
    <row r="82" spans="1:5">
      <c r="A82" s="6"/>
      <c r="B82" s="6"/>
      <c r="C82" s="6"/>
      <c r="D82" s="7"/>
      <c r="E82" s="8"/>
    </row>
    <row r="83" spans="1:5">
      <c r="A83" s="6" t="s">
        <v>136</v>
      </c>
      <c r="B83" s="6" t="s">
        <v>177</v>
      </c>
      <c r="C83" s="6" t="s">
        <v>137</v>
      </c>
      <c r="D83" s="7">
        <v>0.18</v>
      </c>
      <c r="E83" s="8">
        <v>5.14</v>
      </c>
    </row>
    <row r="84" spans="1:5">
      <c r="A84" s="204" t="s">
        <v>7</v>
      </c>
      <c r="B84" s="6"/>
      <c r="C84" s="6"/>
      <c r="D84" s="207">
        <v>0.18</v>
      </c>
      <c r="E84" s="206">
        <v>5.14</v>
      </c>
    </row>
    <row r="85" spans="1:5">
      <c r="A85" s="6"/>
      <c r="B85" s="6"/>
      <c r="C85" s="6"/>
      <c r="D85" s="7"/>
      <c r="E85" s="8"/>
    </row>
    <row r="86" spans="1:5">
      <c r="A86" s="6" t="s">
        <v>145</v>
      </c>
      <c r="B86" s="6" t="s">
        <v>178</v>
      </c>
      <c r="C86" s="6" t="s">
        <v>146</v>
      </c>
      <c r="D86" s="7">
        <v>1.3</v>
      </c>
      <c r="E86" s="8">
        <v>37.5</v>
      </c>
    </row>
    <row r="87" spans="1:5">
      <c r="A87" s="204" t="s">
        <v>7</v>
      </c>
      <c r="B87" s="6"/>
      <c r="C87" s="6"/>
      <c r="D87" s="207">
        <v>1.3</v>
      </c>
      <c r="E87" s="206">
        <v>37.5</v>
      </c>
    </row>
    <row r="88" spans="1:5">
      <c r="A88" s="6"/>
      <c r="B88" s="6"/>
      <c r="C88" s="6"/>
      <c r="D88" s="7"/>
      <c r="E88" s="8"/>
    </row>
    <row r="89" spans="1:5">
      <c r="A89" s="6" t="s">
        <v>143</v>
      </c>
      <c r="B89" s="6" t="s">
        <v>179</v>
      </c>
      <c r="C89" s="6" t="s">
        <v>141</v>
      </c>
      <c r="D89" s="7">
        <v>25.9</v>
      </c>
      <c r="E89" s="8">
        <v>484.85</v>
      </c>
    </row>
    <row r="90" spans="1:5">
      <c r="A90" s="6" t="s">
        <v>142</v>
      </c>
      <c r="B90" s="6" t="s">
        <v>179</v>
      </c>
      <c r="C90" s="6" t="s">
        <v>141</v>
      </c>
      <c r="D90" s="7">
        <v>25.09</v>
      </c>
      <c r="E90" s="8">
        <v>339.09</v>
      </c>
    </row>
    <row r="91" spans="1:5">
      <c r="A91" s="6" t="s">
        <v>140</v>
      </c>
      <c r="B91" s="6" t="s">
        <v>179</v>
      </c>
      <c r="C91" s="6" t="s">
        <v>141</v>
      </c>
      <c r="D91" s="7">
        <v>28.37</v>
      </c>
      <c r="E91" s="8">
        <v>416.56</v>
      </c>
    </row>
    <row r="92" spans="1:5">
      <c r="A92" s="6" t="s">
        <v>144</v>
      </c>
      <c r="B92" s="6" t="s">
        <v>179</v>
      </c>
      <c r="C92" s="6" t="s">
        <v>141</v>
      </c>
      <c r="D92" s="7">
        <v>30.78</v>
      </c>
      <c r="E92" s="8">
        <v>523.16</v>
      </c>
    </row>
    <row r="93" spans="1:5">
      <c r="A93" s="204" t="s">
        <v>7</v>
      </c>
      <c r="B93" s="6"/>
      <c r="C93" s="6"/>
      <c r="D93" s="207">
        <f>SUM(D89:D92)</f>
        <v>110.14</v>
      </c>
      <c r="E93" s="206">
        <f>SUM(E89:E92)</f>
        <v>1763.6599999999999</v>
      </c>
    </row>
    <row r="94" spans="1:5">
      <c r="A94" s="6"/>
      <c r="B94" s="6"/>
      <c r="C94" s="6"/>
      <c r="D94" s="7"/>
      <c r="E94" s="8"/>
    </row>
    <row r="95" spans="1:5">
      <c r="A95" s="6" t="s">
        <v>95</v>
      </c>
      <c r="B95" s="6" t="s">
        <v>180</v>
      </c>
      <c r="C95" s="6" t="s">
        <v>96</v>
      </c>
      <c r="D95" s="7">
        <v>31.7</v>
      </c>
      <c r="E95" s="8">
        <v>822.62</v>
      </c>
    </row>
    <row r="96" spans="1:5">
      <c r="A96" s="204" t="s">
        <v>7</v>
      </c>
      <c r="B96" s="6"/>
      <c r="C96" s="6"/>
      <c r="D96" s="207">
        <v>31.7</v>
      </c>
      <c r="E96" s="206">
        <v>822.62</v>
      </c>
    </row>
    <row r="97" spans="1:5">
      <c r="A97" s="6"/>
      <c r="B97" s="6"/>
      <c r="C97" s="6"/>
      <c r="D97" s="7"/>
      <c r="E97" s="8"/>
    </row>
    <row r="98" spans="1:5">
      <c r="A98" s="6" t="s">
        <v>99</v>
      </c>
      <c r="B98" s="6" t="s">
        <v>181</v>
      </c>
      <c r="C98" s="6" t="s">
        <v>98</v>
      </c>
      <c r="D98" s="7">
        <v>1.62</v>
      </c>
      <c r="E98" s="8">
        <v>36.450000000000003</v>
      </c>
    </row>
    <row r="99" spans="1:5">
      <c r="A99" s="6" t="s">
        <v>97</v>
      </c>
      <c r="B99" s="6" t="s">
        <v>181</v>
      </c>
      <c r="C99" s="6" t="s">
        <v>98</v>
      </c>
      <c r="D99" s="7">
        <v>4.22</v>
      </c>
      <c r="E99" s="8">
        <v>125.3</v>
      </c>
    </row>
    <row r="100" spans="1:5">
      <c r="A100" s="204" t="s">
        <v>7</v>
      </c>
      <c r="B100" s="6"/>
      <c r="C100" s="6"/>
      <c r="D100" s="207">
        <f>SUM(D98:D99)</f>
        <v>5.84</v>
      </c>
      <c r="E100" s="206">
        <f>SUM(E98:E99)</f>
        <v>161.75</v>
      </c>
    </row>
    <row r="101" spans="1:5">
      <c r="A101" s="6"/>
      <c r="B101" s="6"/>
      <c r="C101" s="6"/>
      <c r="D101" s="7"/>
      <c r="E101" s="8"/>
    </row>
    <row r="102" spans="1:5">
      <c r="A102" s="6" t="s">
        <v>102</v>
      </c>
      <c r="B102" s="6" t="s">
        <v>182</v>
      </c>
      <c r="C102" s="6" t="s">
        <v>101</v>
      </c>
      <c r="D102" s="7">
        <v>6.18</v>
      </c>
      <c r="E102" s="8">
        <v>204.5</v>
      </c>
    </row>
    <row r="103" spans="1:5">
      <c r="A103" s="6" t="s">
        <v>100</v>
      </c>
      <c r="B103" s="6" t="s">
        <v>182</v>
      </c>
      <c r="C103" s="6" t="s">
        <v>101</v>
      </c>
      <c r="D103" s="7">
        <v>5.8</v>
      </c>
      <c r="E103" s="8">
        <v>168.17</v>
      </c>
    </row>
    <row r="104" spans="1:5">
      <c r="A104" s="204" t="s">
        <v>7</v>
      </c>
      <c r="B104" s="6"/>
      <c r="C104" s="6"/>
      <c r="D104" s="207">
        <f>SUM(D102:D103)</f>
        <v>11.98</v>
      </c>
      <c r="E104" s="206">
        <f>SUM(E102:E103)</f>
        <v>372.66999999999996</v>
      </c>
    </row>
    <row r="105" spans="1:5">
      <c r="A105" s="6"/>
      <c r="B105" s="6"/>
      <c r="C105" s="6"/>
      <c r="D105" s="7"/>
      <c r="E105" s="8"/>
    </row>
    <row r="106" spans="1:5">
      <c r="A106" s="2" t="s">
        <v>183</v>
      </c>
      <c r="B106" s="6">
        <v>450042</v>
      </c>
      <c r="C106" s="2" t="s">
        <v>184</v>
      </c>
      <c r="D106" s="7">
        <v>1.67</v>
      </c>
      <c r="E106" s="8">
        <v>30</v>
      </c>
    </row>
    <row r="107" spans="1:5">
      <c r="A107" s="204" t="s">
        <v>7</v>
      </c>
      <c r="B107" s="6"/>
      <c r="C107" s="2"/>
      <c r="D107" s="207">
        <v>1.67</v>
      </c>
      <c r="E107" s="206">
        <v>30</v>
      </c>
    </row>
    <row r="108" spans="1:5">
      <c r="A108" s="2"/>
      <c r="B108" s="6"/>
      <c r="C108" s="2"/>
      <c r="D108" s="7"/>
      <c r="E108" s="8"/>
    </row>
    <row r="109" spans="1:5">
      <c r="A109" s="6" t="s">
        <v>133</v>
      </c>
      <c r="B109" s="6" t="s">
        <v>185</v>
      </c>
      <c r="C109" s="6" t="s">
        <v>134</v>
      </c>
      <c r="D109" s="7">
        <v>20.7</v>
      </c>
      <c r="E109" s="8">
        <v>434.7</v>
      </c>
    </row>
    <row r="110" spans="1:5">
      <c r="A110" s="204" t="s">
        <v>7</v>
      </c>
      <c r="B110" s="6"/>
      <c r="C110" s="6"/>
      <c r="D110" s="207">
        <v>20.7</v>
      </c>
      <c r="E110" s="206">
        <v>434.7</v>
      </c>
    </row>
    <row r="111" spans="1:5">
      <c r="A111" s="6"/>
      <c r="B111" s="6"/>
      <c r="C111" s="6"/>
      <c r="D111" s="7"/>
      <c r="E111" s="8"/>
    </row>
    <row r="112" spans="1:5">
      <c r="A112" s="6" t="s">
        <v>132</v>
      </c>
      <c r="B112" s="6" t="s">
        <v>186</v>
      </c>
      <c r="C112" s="6" t="s">
        <v>131</v>
      </c>
      <c r="D112" s="7">
        <v>4.87</v>
      </c>
      <c r="E112" s="8">
        <v>86.2</v>
      </c>
    </row>
    <row r="113" spans="1:5">
      <c r="A113" s="6" t="s">
        <v>106</v>
      </c>
      <c r="B113" s="6" t="s">
        <v>186</v>
      </c>
      <c r="C113" s="6" t="s">
        <v>131</v>
      </c>
      <c r="D113" s="7">
        <v>10.050000000000001</v>
      </c>
      <c r="E113" s="8">
        <v>165.83</v>
      </c>
    </row>
    <row r="114" spans="1:5">
      <c r="A114" s="204" t="s">
        <v>7</v>
      </c>
      <c r="B114" s="6"/>
      <c r="C114" s="6"/>
      <c r="D114" s="207">
        <f>SUM(D112:D113)</f>
        <v>14.920000000000002</v>
      </c>
      <c r="E114" s="206">
        <f>SUM(E112:E113)</f>
        <v>252.03000000000003</v>
      </c>
    </row>
    <row r="115" spans="1:5">
      <c r="A115" s="6"/>
      <c r="B115" s="6"/>
      <c r="C115" s="6"/>
      <c r="D115" s="7"/>
      <c r="E115" s="8"/>
    </row>
    <row r="116" spans="1:5">
      <c r="A116" s="6" t="s">
        <v>127</v>
      </c>
      <c r="B116" s="6" t="s">
        <v>187</v>
      </c>
      <c r="C116" s="6" t="s">
        <v>128</v>
      </c>
      <c r="D116" s="7">
        <v>19.05</v>
      </c>
      <c r="E116" s="8">
        <v>514.35</v>
      </c>
    </row>
    <row r="117" spans="1:5">
      <c r="A117" s="204" t="s">
        <v>7</v>
      </c>
      <c r="B117" s="6"/>
      <c r="C117" s="6"/>
      <c r="D117" s="207">
        <v>19.05</v>
      </c>
      <c r="E117" s="206">
        <v>514.35</v>
      </c>
    </row>
    <row r="118" spans="1:5">
      <c r="A118" s="6"/>
      <c r="B118" s="6"/>
      <c r="C118" s="6"/>
      <c r="D118" s="7"/>
      <c r="E118" s="8"/>
    </row>
    <row r="119" spans="1:5">
      <c r="A119" s="6" t="s">
        <v>130</v>
      </c>
      <c r="B119" s="6" t="s">
        <v>188</v>
      </c>
      <c r="C119" s="6" t="s">
        <v>129</v>
      </c>
      <c r="D119" s="7">
        <v>38.22</v>
      </c>
      <c r="E119" s="8">
        <f>568.99+15.5</f>
        <v>584.49</v>
      </c>
    </row>
    <row r="120" spans="1:5">
      <c r="A120" s="6" t="s">
        <v>121</v>
      </c>
      <c r="B120" s="6" t="s">
        <v>188</v>
      </c>
      <c r="C120" s="6" t="s">
        <v>129</v>
      </c>
      <c r="D120" s="7">
        <v>28.33</v>
      </c>
      <c r="E120" s="8">
        <v>664.28</v>
      </c>
    </row>
    <row r="121" spans="1:5">
      <c r="A121" s="204" t="s">
        <v>7</v>
      </c>
      <c r="B121" s="6"/>
      <c r="C121" s="6"/>
      <c r="D121" s="207">
        <f>SUM(D119:D120)</f>
        <v>66.55</v>
      </c>
      <c r="E121" s="206">
        <f>SUM(E119:E120)</f>
        <v>1248.77</v>
      </c>
    </row>
    <row r="122" spans="1:5">
      <c r="A122" s="6"/>
      <c r="B122" s="6"/>
      <c r="C122" s="6"/>
      <c r="D122" s="7"/>
      <c r="E122" s="8"/>
    </row>
    <row r="123" spans="1:5">
      <c r="A123" s="6" t="s">
        <v>108</v>
      </c>
      <c r="B123" s="6" t="s">
        <v>189</v>
      </c>
      <c r="C123" s="6" t="s">
        <v>104</v>
      </c>
      <c r="D123" s="7">
        <v>8.57</v>
      </c>
      <c r="E123" s="8">
        <v>132.02000000000001</v>
      </c>
    </row>
    <row r="124" spans="1:5">
      <c r="A124" s="6" t="s">
        <v>190</v>
      </c>
      <c r="B124" s="6" t="s">
        <v>189</v>
      </c>
      <c r="C124" s="6" t="s">
        <v>104</v>
      </c>
      <c r="D124" s="7">
        <v>3.9</v>
      </c>
      <c r="E124" s="8">
        <v>51.01</v>
      </c>
    </row>
    <row r="125" spans="1:5">
      <c r="A125" s="6" t="s">
        <v>109</v>
      </c>
      <c r="B125" s="6" t="s">
        <v>189</v>
      </c>
      <c r="C125" s="6" t="s">
        <v>104</v>
      </c>
      <c r="D125" s="7">
        <v>19.649999999999999</v>
      </c>
      <c r="E125" s="8">
        <f>178.82+89.41</f>
        <v>268.23</v>
      </c>
    </row>
    <row r="126" spans="1:5">
      <c r="A126" s="6" t="s">
        <v>115</v>
      </c>
      <c r="B126" s="6" t="s">
        <v>189</v>
      </c>
      <c r="C126" s="6" t="s">
        <v>104</v>
      </c>
      <c r="D126" s="7">
        <v>9.59</v>
      </c>
      <c r="E126" s="8">
        <v>152.05000000000001</v>
      </c>
    </row>
    <row r="127" spans="1:5">
      <c r="A127" s="6" t="s">
        <v>119</v>
      </c>
      <c r="B127" s="6" t="s">
        <v>189</v>
      </c>
      <c r="C127" s="6" t="s">
        <v>104</v>
      </c>
      <c r="D127" s="7">
        <v>30.25</v>
      </c>
      <c r="E127" s="8">
        <f>477.8+16.34</f>
        <v>494.14</v>
      </c>
    </row>
    <row r="128" spans="1:5">
      <c r="A128" s="6" t="s">
        <v>123</v>
      </c>
      <c r="B128" s="6" t="s">
        <v>189</v>
      </c>
      <c r="C128" s="6" t="s">
        <v>104</v>
      </c>
      <c r="D128" s="7">
        <f>3.78+3.72+16.2+12.65</f>
        <v>36.35</v>
      </c>
      <c r="E128" s="8">
        <f>48.24+47.39+206.55+213.47</f>
        <v>515.65</v>
      </c>
    </row>
    <row r="129" spans="1:5">
      <c r="A129" s="6" t="s">
        <v>103</v>
      </c>
      <c r="B129" s="6" t="s">
        <v>189</v>
      </c>
      <c r="C129" s="6" t="s">
        <v>104</v>
      </c>
      <c r="D129" s="7">
        <v>7</v>
      </c>
      <c r="E129" s="8">
        <v>98.28</v>
      </c>
    </row>
    <row r="130" spans="1:5">
      <c r="A130" s="6" t="s">
        <v>117</v>
      </c>
      <c r="B130" s="6" t="s">
        <v>189</v>
      </c>
      <c r="C130" s="6" t="s">
        <v>104</v>
      </c>
      <c r="D130" s="7">
        <f>14.25+14.83</f>
        <v>29.08</v>
      </c>
      <c r="E130" s="8">
        <f>221.92+232.34</f>
        <v>454.26</v>
      </c>
    </row>
    <row r="131" spans="1:5">
      <c r="A131" s="6" t="s">
        <v>122</v>
      </c>
      <c r="B131" s="6" t="s">
        <v>189</v>
      </c>
      <c r="C131" s="6" t="s">
        <v>104</v>
      </c>
      <c r="D131" s="7">
        <v>28.72</v>
      </c>
      <c r="E131" s="8">
        <v>394.61</v>
      </c>
    </row>
    <row r="132" spans="1:5">
      <c r="A132" s="6" t="s">
        <v>113</v>
      </c>
      <c r="B132" s="6" t="s">
        <v>189</v>
      </c>
      <c r="C132" s="6" t="s">
        <v>104</v>
      </c>
      <c r="D132" s="7">
        <v>14.75</v>
      </c>
      <c r="E132" s="8">
        <v>188.07</v>
      </c>
    </row>
    <row r="133" spans="1:5">
      <c r="A133" s="6" t="s">
        <v>111</v>
      </c>
      <c r="B133" s="6" t="s">
        <v>189</v>
      </c>
      <c r="C133" s="6" t="s">
        <v>104</v>
      </c>
      <c r="D133" s="7">
        <f>13.22+17.1</f>
        <v>30.32</v>
      </c>
      <c r="E133" s="8">
        <f>189.92+245.73</f>
        <v>435.65</v>
      </c>
    </row>
    <row r="134" spans="1:5">
      <c r="A134" s="6" t="s">
        <v>120</v>
      </c>
      <c r="B134" s="6" t="s">
        <v>189</v>
      </c>
      <c r="C134" s="6" t="s">
        <v>104</v>
      </c>
      <c r="D134" s="7">
        <v>36.75</v>
      </c>
      <c r="E134" s="8">
        <f>52.51+583.64</f>
        <v>636.15</v>
      </c>
    </row>
    <row r="135" spans="1:5">
      <c r="A135" s="6" t="s">
        <v>114</v>
      </c>
      <c r="B135" s="6" t="s">
        <v>189</v>
      </c>
      <c r="C135" s="6" t="s">
        <v>104</v>
      </c>
      <c r="D135" s="7">
        <v>5.08</v>
      </c>
      <c r="E135" s="8">
        <v>66.680000000000007</v>
      </c>
    </row>
    <row r="136" spans="1:5">
      <c r="A136" s="6" t="s">
        <v>191</v>
      </c>
      <c r="B136" s="6" t="s">
        <v>189</v>
      </c>
      <c r="C136" s="6" t="s">
        <v>104</v>
      </c>
      <c r="D136" s="7">
        <v>8.23</v>
      </c>
      <c r="E136" s="8">
        <v>118.88</v>
      </c>
    </row>
    <row r="137" spans="1:5">
      <c r="A137" s="6" t="s">
        <v>112</v>
      </c>
      <c r="B137" s="6" t="s">
        <v>189</v>
      </c>
      <c r="C137" s="6" t="s">
        <v>104</v>
      </c>
      <c r="D137" s="7">
        <v>16.7</v>
      </c>
      <c r="E137" s="8">
        <f>149.33+126.23</f>
        <v>275.56</v>
      </c>
    </row>
    <row r="138" spans="1:5">
      <c r="A138" s="6" t="s">
        <v>116</v>
      </c>
      <c r="B138" s="6" t="s">
        <v>189</v>
      </c>
      <c r="C138" s="6" t="s">
        <v>104</v>
      </c>
      <c r="D138" s="7">
        <v>20.58</v>
      </c>
      <c r="E138" s="8">
        <f>264.38+13.5</f>
        <v>277.88</v>
      </c>
    </row>
    <row r="139" spans="1:5">
      <c r="A139" s="6" t="s">
        <v>118</v>
      </c>
      <c r="B139" s="6" t="s">
        <v>189</v>
      </c>
      <c r="C139" s="6" t="s">
        <v>104</v>
      </c>
      <c r="D139" s="7">
        <f>15.75+18</f>
        <v>33.75</v>
      </c>
      <c r="E139" s="8">
        <f>307.13+351</f>
        <v>658.13</v>
      </c>
    </row>
    <row r="140" spans="1:5">
      <c r="A140" s="6" t="s">
        <v>124</v>
      </c>
      <c r="B140" s="6" t="s">
        <v>189</v>
      </c>
      <c r="C140" s="6" t="s">
        <v>104</v>
      </c>
      <c r="D140" s="7">
        <f>12.63+30.68</f>
        <v>43.31</v>
      </c>
      <c r="E140" s="8">
        <f>284.25+690.38</f>
        <v>974.63</v>
      </c>
    </row>
    <row r="141" spans="1:5">
      <c r="A141" s="204" t="s">
        <v>7</v>
      </c>
      <c r="B141" s="6"/>
      <c r="C141" s="6"/>
      <c r="D141" s="207">
        <f>SUM(D123:D140)</f>
        <v>382.58</v>
      </c>
      <c r="E141" s="206">
        <f>SUM(E123:E140)</f>
        <v>6191.880000000001</v>
      </c>
    </row>
    <row r="142" spans="1:5">
      <c r="A142" s="6"/>
      <c r="B142" s="6"/>
      <c r="C142" s="6"/>
      <c r="D142" s="7"/>
      <c r="E142" s="8"/>
    </row>
    <row r="143" spans="1:5">
      <c r="A143" s="6" t="s">
        <v>41</v>
      </c>
      <c r="B143" s="6" t="s">
        <v>192</v>
      </c>
      <c r="C143" s="6" t="s">
        <v>193</v>
      </c>
      <c r="D143" s="7">
        <f>0.42+1.47</f>
        <v>1.89</v>
      </c>
      <c r="E143" s="8">
        <f>9.46+33.31</f>
        <v>42.77</v>
      </c>
    </row>
    <row r="144" spans="1:5">
      <c r="A144" s="204" t="s">
        <v>7</v>
      </c>
      <c r="B144" s="6"/>
      <c r="C144" s="6"/>
      <c r="D144" s="207">
        <v>1.89</v>
      </c>
      <c r="E144" s="206">
        <v>42.77</v>
      </c>
    </row>
    <row r="145" spans="1:5">
      <c r="A145" s="6"/>
      <c r="B145" s="6"/>
      <c r="C145" s="6"/>
      <c r="D145" s="7"/>
      <c r="E145" s="8"/>
    </row>
    <row r="146" spans="1:5">
      <c r="D146" s="4"/>
      <c r="E146" s="5"/>
    </row>
    <row r="147" spans="1:5">
      <c r="A147" s="1" t="s">
        <v>194</v>
      </c>
      <c r="D147" s="208">
        <f>D7+D10+D13+D18+D41+D45+D49+D52+D60+D63+D68+D72+D78+D81+D84+D87+D93+D96+D100+D104+D107+D110+D114+D117+D121+D141+D144</f>
        <v>1267.9599999999998</v>
      </c>
      <c r="E147" s="209">
        <f>E7+E10+E13+E18+E41+E45+E49+E52+E60+E63+E68+E72+E78+E81+E84+E87+E93+E96+E100+E104+E107+E110+E114+E117+E121+E141+E144</f>
        <v>24950.0998</v>
      </c>
    </row>
  </sheetData>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42"/>
  <sheetViews>
    <sheetView workbookViewId="0">
      <selection activeCell="G1" sqref="G1:I4"/>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13.85546875" bestFit="1" customWidth="1"/>
    <col min="7" max="7" width="20.85546875" customWidth="1"/>
    <col min="8" max="8" width="21" customWidth="1"/>
    <col min="9" max="9" width="17" customWidth="1"/>
  </cols>
  <sheetData>
    <row r="1" spans="1:9">
      <c r="A1" s="19" t="s">
        <v>147</v>
      </c>
      <c r="B1" s="19" t="s">
        <v>148</v>
      </c>
      <c r="C1" s="19" t="s">
        <v>149</v>
      </c>
      <c r="D1" s="19" t="s">
        <v>150</v>
      </c>
      <c r="E1" s="19" t="s">
        <v>151</v>
      </c>
      <c r="F1" s="11" t="s">
        <v>258</v>
      </c>
      <c r="G1" s="38" t="s">
        <v>259</v>
      </c>
      <c r="H1" s="40" t="s">
        <v>260</v>
      </c>
      <c r="I1" s="39" t="s">
        <v>261</v>
      </c>
    </row>
    <row r="2" spans="1:9">
      <c r="A2" s="20" t="s">
        <v>20</v>
      </c>
      <c r="B2" s="20" t="s">
        <v>152</v>
      </c>
      <c r="C2" s="20" t="s">
        <v>15</v>
      </c>
      <c r="D2" s="21">
        <v>0.12</v>
      </c>
      <c r="E2" s="22">
        <v>3.06</v>
      </c>
      <c r="F2" s="18"/>
      <c r="G2" s="13">
        <f>E17+E18+E19+E20+E21+E22+E24+E26+E28+E29+E30+E31+E35+E36+E37+E38+E41+E45+E48+E63+E64+E65+E66+E69+E72+E74+E75</f>
        <v>5896.2300000000005</v>
      </c>
      <c r="H2" s="66">
        <f>E78</f>
        <v>380.04</v>
      </c>
      <c r="I2" s="52">
        <f>E101+E112</f>
        <v>208.82</v>
      </c>
    </row>
    <row r="3" spans="1:9">
      <c r="A3" s="20" t="s">
        <v>18</v>
      </c>
      <c r="B3" s="20" t="s">
        <v>152</v>
      </c>
      <c r="C3" s="20" t="s">
        <v>15</v>
      </c>
      <c r="D3" s="21">
        <v>0.48</v>
      </c>
      <c r="E3" s="22">
        <v>13.46</v>
      </c>
      <c r="F3" s="18"/>
    </row>
    <row r="4" spans="1:9">
      <c r="A4" s="20" t="s">
        <v>19</v>
      </c>
      <c r="B4" s="23" t="s">
        <v>152</v>
      </c>
      <c r="C4" s="20" t="s">
        <v>15</v>
      </c>
      <c r="D4" s="21">
        <v>0.73</v>
      </c>
      <c r="E4" s="22">
        <v>22.66</v>
      </c>
      <c r="F4" s="18"/>
      <c r="G4" s="305" t="s">
        <v>263</v>
      </c>
      <c r="H4" s="306"/>
      <c r="I4" s="309"/>
    </row>
    <row r="5" spans="1:9">
      <c r="A5" s="19" t="s">
        <v>7</v>
      </c>
      <c r="B5" s="20"/>
      <c r="C5" s="20"/>
      <c r="D5" s="24">
        <f>SUM(D2:D4)</f>
        <v>1.33</v>
      </c>
      <c r="E5" s="25">
        <f>SUM(E2:E4)</f>
        <v>39.18</v>
      </c>
    </row>
    <row r="6" spans="1:9">
      <c r="A6" s="19"/>
      <c r="B6" s="20"/>
      <c r="C6" s="20"/>
      <c r="D6" s="26"/>
      <c r="E6" s="25"/>
    </row>
    <row r="7" spans="1:9">
      <c r="A7" s="20" t="s">
        <v>195</v>
      </c>
      <c r="B7" s="23" t="s">
        <v>155</v>
      </c>
      <c r="C7" s="20" t="s">
        <v>196</v>
      </c>
      <c r="D7" s="21">
        <v>0.5</v>
      </c>
      <c r="E7" s="22">
        <v>15</v>
      </c>
    </row>
    <row r="8" spans="1:9">
      <c r="A8" s="19" t="s">
        <v>7</v>
      </c>
      <c r="B8" s="20"/>
      <c r="C8" s="20"/>
      <c r="D8" s="26">
        <f>SUM(D7:D7)</f>
        <v>0.5</v>
      </c>
      <c r="E8" s="25">
        <f>SUM(E7:E7)</f>
        <v>15</v>
      </c>
    </row>
    <row r="9" spans="1:9">
      <c r="A9" s="19"/>
      <c r="B9" s="20"/>
      <c r="C9" s="20"/>
      <c r="D9" s="26"/>
      <c r="E9" s="25"/>
    </row>
    <row r="10" spans="1:9">
      <c r="A10" s="20" t="s">
        <v>14</v>
      </c>
      <c r="B10" s="23" t="s">
        <v>156</v>
      </c>
      <c r="C10" s="20" t="s">
        <v>91</v>
      </c>
      <c r="D10" s="21">
        <v>0.03</v>
      </c>
      <c r="E10" s="22">
        <v>0.88</v>
      </c>
    </row>
    <row r="11" spans="1:9">
      <c r="A11" s="20" t="s">
        <v>335</v>
      </c>
      <c r="B11" s="23" t="s">
        <v>156</v>
      </c>
      <c r="C11" s="20" t="s">
        <v>91</v>
      </c>
      <c r="D11" s="21">
        <v>0.63</v>
      </c>
      <c r="E11" s="22">
        <v>17.579999999999998</v>
      </c>
    </row>
    <row r="12" spans="1:9">
      <c r="A12" s="20" t="s">
        <v>92</v>
      </c>
      <c r="B12" s="23" t="s">
        <v>156</v>
      </c>
      <c r="C12" s="20" t="s">
        <v>91</v>
      </c>
      <c r="D12" s="21">
        <v>1.43</v>
      </c>
      <c r="E12" s="22">
        <v>37.93</v>
      </c>
    </row>
    <row r="13" spans="1:9">
      <c r="A13" s="19" t="s">
        <v>7</v>
      </c>
      <c r="B13" s="20"/>
      <c r="C13" s="20"/>
      <c r="D13" s="26">
        <f>SUM(D10:D12)</f>
        <v>2.09</v>
      </c>
      <c r="E13" s="25">
        <f>SUM(E10:E12)</f>
        <v>56.39</v>
      </c>
    </row>
    <row r="14" spans="1:9">
      <c r="A14" s="20"/>
      <c r="B14" s="20"/>
      <c r="C14" s="20"/>
      <c r="D14" s="21"/>
      <c r="E14" s="22"/>
    </row>
    <row r="15" spans="1:9">
      <c r="A15" s="20" t="s">
        <v>336</v>
      </c>
      <c r="B15" s="23" t="s">
        <v>157</v>
      </c>
      <c r="C15" s="20" t="s">
        <v>66</v>
      </c>
      <c r="D15" s="21">
        <v>3.7</v>
      </c>
      <c r="E15" s="22">
        <v>69.38</v>
      </c>
    </row>
    <row r="16" spans="1:9">
      <c r="A16" s="20" t="s">
        <v>266</v>
      </c>
      <c r="B16" s="23" t="s">
        <v>157</v>
      </c>
      <c r="C16" s="20" t="s">
        <v>66</v>
      </c>
      <c r="D16" s="21">
        <v>0.65</v>
      </c>
      <c r="E16" s="22">
        <v>12.68</v>
      </c>
    </row>
    <row r="17" spans="1:6">
      <c r="A17" s="27" t="s">
        <v>321</v>
      </c>
      <c r="B17" s="28" t="s">
        <v>157</v>
      </c>
      <c r="C17" s="27" t="s">
        <v>66</v>
      </c>
      <c r="D17" s="29">
        <v>10</v>
      </c>
      <c r="E17" s="30">
        <v>195</v>
      </c>
      <c r="F17" s="31" t="s">
        <v>310</v>
      </c>
    </row>
    <row r="18" spans="1:6">
      <c r="A18" s="27" t="s">
        <v>175</v>
      </c>
      <c r="B18" s="28" t="s">
        <v>157</v>
      </c>
      <c r="C18" s="27" t="s">
        <v>66</v>
      </c>
      <c r="D18" s="29">
        <v>15.97</v>
      </c>
      <c r="E18" s="30">
        <v>311.35000000000002</v>
      </c>
      <c r="F18" s="31" t="s">
        <v>310</v>
      </c>
    </row>
    <row r="19" spans="1:6">
      <c r="A19" s="27" t="s">
        <v>228</v>
      </c>
      <c r="B19" s="28" t="s">
        <v>157</v>
      </c>
      <c r="C19" s="27" t="s">
        <v>66</v>
      </c>
      <c r="D19" s="29">
        <v>11.5</v>
      </c>
      <c r="E19" s="30">
        <v>224.25</v>
      </c>
      <c r="F19" s="31" t="s">
        <v>310</v>
      </c>
    </row>
    <row r="20" spans="1:6">
      <c r="A20" s="27" t="s">
        <v>210</v>
      </c>
      <c r="B20" s="28" t="s">
        <v>157</v>
      </c>
      <c r="C20" s="27" t="s">
        <v>66</v>
      </c>
      <c r="D20" s="27">
        <v>8.0500000000000007</v>
      </c>
      <c r="E20" s="30">
        <v>169.05</v>
      </c>
      <c r="F20" s="31" t="s">
        <v>310</v>
      </c>
    </row>
    <row r="21" spans="1:6">
      <c r="A21" s="27" t="s">
        <v>89</v>
      </c>
      <c r="B21" s="28" t="s">
        <v>157</v>
      </c>
      <c r="C21" s="27" t="s">
        <v>66</v>
      </c>
      <c r="D21" s="27">
        <v>9.9700000000000006</v>
      </c>
      <c r="E21" s="30">
        <v>194.35</v>
      </c>
      <c r="F21" s="31" t="s">
        <v>310</v>
      </c>
    </row>
    <row r="22" spans="1:6">
      <c r="A22" s="27" t="s">
        <v>237</v>
      </c>
      <c r="B22" s="28" t="s">
        <v>157</v>
      </c>
      <c r="C22" s="27" t="s">
        <v>66</v>
      </c>
      <c r="D22" s="27">
        <v>4.0199999999999996</v>
      </c>
      <c r="E22" s="30">
        <v>84.35</v>
      </c>
      <c r="F22" s="31" t="s">
        <v>310</v>
      </c>
    </row>
    <row r="23" spans="1:6">
      <c r="A23" s="20" t="s">
        <v>86</v>
      </c>
      <c r="B23" s="23" t="s">
        <v>157</v>
      </c>
      <c r="C23" s="20" t="s">
        <v>66</v>
      </c>
      <c r="D23" s="20">
        <v>0.33</v>
      </c>
      <c r="E23" s="22">
        <v>7.25</v>
      </c>
    </row>
    <row r="24" spans="1:6">
      <c r="A24" s="27" t="s">
        <v>292</v>
      </c>
      <c r="B24" s="28" t="s">
        <v>157</v>
      </c>
      <c r="C24" s="27" t="s">
        <v>66</v>
      </c>
      <c r="D24" s="27">
        <v>6.28</v>
      </c>
      <c r="E24" s="30">
        <v>122.53</v>
      </c>
      <c r="F24" s="31" t="s">
        <v>310</v>
      </c>
    </row>
    <row r="25" spans="1:6">
      <c r="A25" s="20" t="s">
        <v>344</v>
      </c>
      <c r="B25" s="23" t="s">
        <v>157</v>
      </c>
      <c r="C25" s="20" t="s">
        <v>66</v>
      </c>
      <c r="D25" s="55">
        <v>2</v>
      </c>
      <c r="E25" s="22">
        <v>39</v>
      </c>
    </row>
    <row r="26" spans="1:6">
      <c r="A26" s="27" t="s">
        <v>299</v>
      </c>
      <c r="B26" s="28" t="s">
        <v>157</v>
      </c>
      <c r="C26" s="27" t="s">
        <v>66</v>
      </c>
      <c r="D26" s="91">
        <v>5.53</v>
      </c>
      <c r="E26" s="30">
        <v>107.9</v>
      </c>
      <c r="F26" s="31" t="s">
        <v>310</v>
      </c>
    </row>
    <row r="27" spans="1:6">
      <c r="A27" s="20" t="s">
        <v>85</v>
      </c>
      <c r="B27" s="23" t="s">
        <v>157</v>
      </c>
      <c r="C27" s="20" t="s">
        <v>66</v>
      </c>
      <c r="D27" s="20">
        <v>0.95</v>
      </c>
      <c r="E27" s="22">
        <v>22.74</v>
      </c>
    </row>
    <row r="28" spans="1:6">
      <c r="A28" s="27" t="s">
        <v>159</v>
      </c>
      <c r="B28" s="28" t="s">
        <v>157</v>
      </c>
      <c r="C28" s="27" t="s">
        <v>66</v>
      </c>
      <c r="D28" s="91">
        <v>12.8</v>
      </c>
      <c r="E28" s="30">
        <v>249.6</v>
      </c>
      <c r="F28" s="31" t="s">
        <v>310</v>
      </c>
    </row>
    <row r="29" spans="1:6">
      <c r="A29" s="27" t="s">
        <v>88</v>
      </c>
      <c r="B29" s="28" t="s">
        <v>157</v>
      </c>
      <c r="C29" s="27" t="s">
        <v>66</v>
      </c>
      <c r="D29" s="91">
        <v>7</v>
      </c>
      <c r="E29" s="30">
        <v>147</v>
      </c>
      <c r="F29" s="31" t="s">
        <v>310</v>
      </c>
    </row>
    <row r="30" spans="1:6">
      <c r="A30" s="27" t="s">
        <v>328</v>
      </c>
      <c r="B30" s="28" t="s">
        <v>157</v>
      </c>
      <c r="C30" s="27" t="s">
        <v>66</v>
      </c>
      <c r="D30" s="27">
        <v>7.22</v>
      </c>
      <c r="E30" s="30">
        <v>162.38</v>
      </c>
      <c r="F30" s="31" t="s">
        <v>310</v>
      </c>
    </row>
    <row r="31" spans="1:6">
      <c r="A31" s="27" t="s">
        <v>79</v>
      </c>
      <c r="B31" s="28" t="s">
        <v>157</v>
      </c>
      <c r="C31" s="27" t="s">
        <v>66</v>
      </c>
      <c r="D31" s="27">
        <v>6.98</v>
      </c>
      <c r="E31" s="30">
        <v>162.36000000000001</v>
      </c>
      <c r="F31" s="31" t="s">
        <v>310</v>
      </c>
    </row>
    <row r="32" spans="1:6">
      <c r="A32" s="20" t="s">
        <v>161</v>
      </c>
      <c r="B32" s="23" t="s">
        <v>157</v>
      </c>
      <c r="C32" s="20" t="s">
        <v>66</v>
      </c>
      <c r="D32" s="20">
        <v>1.48</v>
      </c>
      <c r="E32" s="22">
        <v>28.93</v>
      </c>
    </row>
    <row r="33" spans="1:6">
      <c r="A33" s="19" t="s">
        <v>7</v>
      </c>
      <c r="B33" s="20"/>
      <c r="C33" s="20"/>
      <c r="D33" s="26">
        <f>SUM(D15:D32)</f>
        <v>114.43</v>
      </c>
      <c r="E33" s="25">
        <f>SUM(E15:E32)</f>
        <v>2310.1</v>
      </c>
    </row>
    <row r="34" spans="1:6">
      <c r="A34" s="19"/>
      <c r="B34" s="20"/>
      <c r="C34" s="20"/>
      <c r="D34" s="26"/>
      <c r="E34" s="25"/>
    </row>
    <row r="35" spans="1:6">
      <c r="A35" s="27" t="s">
        <v>236</v>
      </c>
      <c r="B35" s="28" t="s">
        <v>162</v>
      </c>
      <c r="C35" s="27" t="s">
        <v>51</v>
      </c>
      <c r="D35" s="29">
        <f>3.13+2.57+0.3</f>
        <v>5.9999999999999991</v>
      </c>
      <c r="E35" s="30">
        <v>108</v>
      </c>
      <c r="F35" s="31" t="s">
        <v>310</v>
      </c>
    </row>
    <row r="36" spans="1:6">
      <c r="A36" s="27" t="s">
        <v>52</v>
      </c>
      <c r="B36" s="28" t="s">
        <v>162</v>
      </c>
      <c r="C36" s="27" t="s">
        <v>51</v>
      </c>
      <c r="D36" s="29">
        <v>9.98</v>
      </c>
      <c r="E36" s="30">
        <v>224.63</v>
      </c>
      <c r="F36" s="31" t="s">
        <v>310</v>
      </c>
    </row>
    <row r="37" spans="1:6">
      <c r="A37" s="27" t="s">
        <v>163</v>
      </c>
      <c r="B37" s="28" t="s">
        <v>162</v>
      </c>
      <c r="C37" s="27" t="s">
        <v>51</v>
      </c>
      <c r="D37" s="29">
        <v>35.979999999999997</v>
      </c>
      <c r="E37" s="30">
        <f>707.6+156</f>
        <v>863.6</v>
      </c>
      <c r="F37" s="31" t="s">
        <v>310</v>
      </c>
    </row>
    <row r="38" spans="1:6">
      <c r="A38" s="27" t="s">
        <v>50</v>
      </c>
      <c r="B38" s="28" t="s">
        <v>162</v>
      </c>
      <c r="C38" s="27" t="s">
        <v>51</v>
      </c>
      <c r="D38" s="29">
        <v>7</v>
      </c>
      <c r="E38" s="30">
        <v>120.75</v>
      </c>
      <c r="F38" s="31" t="s">
        <v>310</v>
      </c>
    </row>
    <row r="39" spans="1:6">
      <c r="A39" s="19" t="s">
        <v>7</v>
      </c>
      <c r="B39" s="20"/>
      <c r="C39" s="20"/>
      <c r="D39" s="26">
        <f>SUM(D35:D38)</f>
        <v>58.959999999999994</v>
      </c>
      <c r="E39" s="25">
        <f>SUM(E35:E38)</f>
        <v>1316.98</v>
      </c>
    </row>
    <row r="40" spans="1:6">
      <c r="A40" s="19"/>
      <c r="B40" s="20"/>
      <c r="C40" s="20"/>
      <c r="D40" s="26"/>
      <c r="E40" s="25"/>
    </row>
    <row r="41" spans="1:6">
      <c r="A41" s="27" t="s">
        <v>345</v>
      </c>
      <c r="B41" s="28" t="s">
        <v>164</v>
      </c>
      <c r="C41" s="27" t="s">
        <v>60</v>
      </c>
      <c r="D41" s="29">
        <v>5.97</v>
      </c>
      <c r="E41" s="30">
        <v>125.3</v>
      </c>
      <c r="F41" s="31" t="s">
        <v>310</v>
      </c>
    </row>
    <row r="42" spans="1:6">
      <c r="A42" s="20" t="s">
        <v>329</v>
      </c>
      <c r="B42" s="23" t="s">
        <v>164</v>
      </c>
      <c r="C42" s="20" t="s">
        <v>60</v>
      </c>
      <c r="D42" s="21">
        <v>0.33</v>
      </c>
      <c r="E42" s="22">
        <v>9</v>
      </c>
    </row>
    <row r="43" spans="1:6">
      <c r="A43" s="19" t="s">
        <v>7</v>
      </c>
      <c r="B43" s="20"/>
      <c r="C43" s="20"/>
      <c r="D43" s="26">
        <f>SUM(D41:D42)</f>
        <v>6.3</v>
      </c>
      <c r="E43" s="25">
        <f>SUM(E41:E42)</f>
        <v>134.30000000000001</v>
      </c>
    </row>
    <row r="44" spans="1:6">
      <c r="A44" s="19"/>
      <c r="B44" s="20"/>
      <c r="C44" s="20"/>
      <c r="D44" s="26"/>
      <c r="E44" s="25"/>
    </row>
    <row r="45" spans="1:6">
      <c r="A45" s="27" t="s">
        <v>339</v>
      </c>
      <c r="B45" s="28" t="s">
        <v>165</v>
      </c>
      <c r="C45" s="27" t="s">
        <v>45</v>
      </c>
      <c r="D45" s="29">
        <v>11.25</v>
      </c>
      <c r="E45" s="30">
        <v>219.38</v>
      </c>
      <c r="F45" s="31" t="s">
        <v>310</v>
      </c>
    </row>
    <row r="46" spans="1:6">
      <c r="A46" s="19" t="s">
        <v>7</v>
      </c>
      <c r="B46" s="20"/>
      <c r="C46" s="20"/>
      <c r="D46" s="26">
        <v>11.25</v>
      </c>
      <c r="E46" s="25">
        <v>219.38</v>
      </c>
    </row>
    <row r="47" spans="1:6">
      <c r="A47" s="19"/>
      <c r="B47" s="20"/>
      <c r="C47" s="20"/>
      <c r="D47" s="26"/>
      <c r="E47" s="25"/>
    </row>
    <row r="48" spans="1:6">
      <c r="A48" s="27" t="s">
        <v>253</v>
      </c>
      <c r="B48" s="28" t="s">
        <v>167</v>
      </c>
      <c r="C48" s="27" t="s">
        <v>54</v>
      </c>
      <c r="D48" s="29">
        <v>7.75</v>
      </c>
      <c r="E48" s="30">
        <v>162.75</v>
      </c>
      <c r="F48" s="31" t="s">
        <v>310</v>
      </c>
    </row>
    <row r="49" spans="1:6">
      <c r="A49" s="20" t="s">
        <v>270</v>
      </c>
      <c r="B49" s="23" t="s">
        <v>167</v>
      </c>
      <c r="C49" s="20" t="s">
        <v>54</v>
      </c>
      <c r="D49" s="21">
        <v>2.2000000000000002</v>
      </c>
      <c r="E49" s="22">
        <v>59.4</v>
      </c>
    </row>
    <row r="50" spans="1:6">
      <c r="A50" s="20" t="s">
        <v>340</v>
      </c>
      <c r="B50" s="23" t="s">
        <v>167</v>
      </c>
      <c r="C50" s="20" t="s">
        <v>54</v>
      </c>
      <c r="D50" s="21">
        <v>0.22</v>
      </c>
      <c r="E50" s="22">
        <v>4.71</v>
      </c>
    </row>
    <row r="51" spans="1:6">
      <c r="A51" s="19" t="s">
        <v>7</v>
      </c>
      <c r="B51" s="23"/>
      <c r="C51" s="20"/>
      <c r="D51" s="26">
        <f>SUM(D48:D50)</f>
        <v>10.17</v>
      </c>
      <c r="E51" s="25">
        <f>SUM(E48:E50)</f>
        <v>226.86</v>
      </c>
    </row>
    <row r="52" spans="1:6">
      <c r="A52" s="20"/>
      <c r="B52" s="23"/>
      <c r="C52" s="20"/>
      <c r="D52" s="21"/>
      <c r="E52" s="22"/>
    </row>
    <row r="53" spans="1:6">
      <c r="A53" s="20" t="s">
        <v>312</v>
      </c>
      <c r="B53" s="23" t="s">
        <v>171</v>
      </c>
      <c r="C53" s="20" t="s">
        <v>25</v>
      </c>
      <c r="D53" s="21">
        <v>0.18</v>
      </c>
      <c r="E53" s="22">
        <v>4.68</v>
      </c>
    </row>
    <row r="54" spans="1:6">
      <c r="A54" s="20" t="s">
        <v>286</v>
      </c>
      <c r="B54" s="20" t="s">
        <v>171</v>
      </c>
      <c r="C54" s="20" t="s">
        <v>25</v>
      </c>
      <c r="D54" s="21">
        <v>3.43</v>
      </c>
      <c r="E54" s="22">
        <v>87.55</v>
      </c>
    </row>
    <row r="55" spans="1:6">
      <c r="A55" s="20" t="s">
        <v>229</v>
      </c>
      <c r="B55" s="23" t="s">
        <v>171</v>
      </c>
      <c r="C55" s="20" t="s">
        <v>25</v>
      </c>
      <c r="D55" s="21">
        <v>3.17</v>
      </c>
      <c r="E55" s="22">
        <v>83.13</v>
      </c>
    </row>
    <row r="56" spans="1:6">
      <c r="A56" s="20" t="s">
        <v>306</v>
      </c>
      <c r="B56" s="23" t="s">
        <v>171</v>
      </c>
      <c r="C56" s="20" t="s">
        <v>25</v>
      </c>
      <c r="D56" s="21">
        <v>3.08</v>
      </c>
      <c r="E56" s="22">
        <v>80.94</v>
      </c>
    </row>
    <row r="57" spans="1:6">
      <c r="A57" s="19" t="s">
        <v>7</v>
      </c>
      <c r="B57" s="20"/>
      <c r="C57" s="20"/>
      <c r="D57" s="26">
        <f>SUM(D53:D56)</f>
        <v>9.86</v>
      </c>
      <c r="E57" s="25">
        <f>SUM(E53:E56)</f>
        <v>256.29999999999995</v>
      </c>
    </row>
    <row r="58" spans="1:6">
      <c r="A58" s="20"/>
      <c r="B58" s="20"/>
      <c r="C58" s="20"/>
      <c r="D58" s="21"/>
      <c r="E58" s="22"/>
    </row>
    <row r="59" spans="1:6">
      <c r="A59" s="20" t="s">
        <v>307</v>
      </c>
      <c r="B59" s="20">
        <v>100035</v>
      </c>
      <c r="C59" s="20" t="s">
        <v>332</v>
      </c>
      <c r="D59" s="21">
        <v>0.65</v>
      </c>
      <c r="E59" s="22">
        <f>24.52*0.65</f>
        <v>15.938000000000001</v>
      </c>
    </row>
    <row r="60" spans="1:6">
      <c r="A60" s="20" t="s">
        <v>331</v>
      </c>
      <c r="B60" s="20">
        <v>100035</v>
      </c>
      <c r="C60" s="20" t="s">
        <v>332</v>
      </c>
      <c r="D60" s="21">
        <v>0.4</v>
      </c>
      <c r="E60" s="22">
        <v>12</v>
      </c>
    </row>
    <row r="61" spans="1:6">
      <c r="A61" s="19" t="s">
        <v>7</v>
      </c>
      <c r="B61" s="20"/>
      <c r="C61" s="20"/>
      <c r="D61" s="26">
        <f>SUM(D59:D60)</f>
        <v>1.05</v>
      </c>
      <c r="E61" s="25">
        <f>SUM(E59:E60)</f>
        <v>27.938000000000002</v>
      </c>
    </row>
    <row r="62" spans="1:6">
      <c r="A62" s="19"/>
      <c r="B62" s="20"/>
      <c r="C62" s="20"/>
      <c r="D62" s="21"/>
      <c r="E62" s="22"/>
    </row>
    <row r="63" spans="1:6">
      <c r="A63" s="27" t="s">
        <v>36</v>
      </c>
      <c r="B63" s="27">
        <v>100051</v>
      </c>
      <c r="C63" s="27" t="s">
        <v>34</v>
      </c>
      <c r="D63" s="29">
        <v>17.02</v>
      </c>
      <c r="E63" s="30">
        <v>357.35</v>
      </c>
      <c r="F63" s="31" t="s">
        <v>310</v>
      </c>
    </row>
    <row r="64" spans="1:6">
      <c r="A64" s="27" t="s">
        <v>37</v>
      </c>
      <c r="B64" s="27">
        <v>100051</v>
      </c>
      <c r="C64" s="27" t="s">
        <v>34</v>
      </c>
      <c r="D64" s="29">
        <v>24</v>
      </c>
      <c r="E64" s="30">
        <v>528.48</v>
      </c>
      <c r="F64" s="31" t="s">
        <v>310</v>
      </c>
    </row>
    <row r="65" spans="1:6">
      <c r="A65" s="27" t="s">
        <v>213</v>
      </c>
      <c r="B65" s="27">
        <v>100051</v>
      </c>
      <c r="C65" s="27" t="s">
        <v>34</v>
      </c>
      <c r="D65" s="29">
        <v>4</v>
      </c>
      <c r="E65" s="30">
        <v>78</v>
      </c>
      <c r="F65" s="31" t="s">
        <v>310</v>
      </c>
    </row>
    <row r="66" spans="1:6">
      <c r="A66" s="27" t="s">
        <v>41</v>
      </c>
      <c r="B66" s="27">
        <v>100051</v>
      </c>
      <c r="C66" s="27" t="s">
        <v>34</v>
      </c>
      <c r="D66" s="29">
        <v>20</v>
      </c>
      <c r="E66" s="30">
        <v>472.5</v>
      </c>
      <c r="F66" s="31" t="s">
        <v>310</v>
      </c>
    </row>
    <row r="67" spans="1:6">
      <c r="A67" s="19" t="s">
        <v>7</v>
      </c>
      <c r="B67" s="20"/>
      <c r="C67" s="20"/>
      <c r="D67" s="26">
        <f>SUM(D63:D66)</f>
        <v>65.02</v>
      </c>
      <c r="E67" s="25">
        <f>SUM(E63:E66)</f>
        <v>1436.33</v>
      </c>
    </row>
    <row r="68" spans="1:6">
      <c r="A68" s="19"/>
      <c r="B68" s="20"/>
      <c r="C68" s="20"/>
      <c r="D68" s="26"/>
      <c r="E68" s="25"/>
    </row>
    <row r="69" spans="1:6">
      <c r="A69" s="27" t="s">
        <v>42</v>
      </c>
      <c r="B69" s="27">
        <v>100052</v>
      </c>
      <c r="C69" s="27" t="s">
        <v>43</v>
      </c>
      <c r="D69" s="29">
        <v>6.55</v>
      </c>
      <c r="E69" s="30">
        <v>194.04</v>
      </c>
      <c r="F69" s="31" t="s">
        <v>310</v>
      </c>
    </row>
    <row r="70" spans="1:6">
      <c r="A70" s="19" t="s">
        <v>7</v>
      </c>
      <c r="B70" s="20"/>
      <c r="C70" s="20"/>
      <c r="D70" s="26">
        <v>6.55</v>
      </c>
      <c r="E70" s="25">
        <v>194.04</v>
      </c>
    </row>
    <row r="71" spans="1:6">
      <c r="A71" s="19"/>
      <c r="B71" s="20"/>
      <c r="C71" s="20"/>
      <c r="D71" s="26"/>
      <c r="E71" s="25"/>
    </row>
    <row r="72" spans="1:6">
      <c r="A72" s="27" t="s">
        <v>276</v>
      </c>
      <c r="B72" s="27">
        <v>290051</v>
      </c>
      <c r="C72" s="27" t="s">
        <v>141</v>
      </c>
      <c r="D72" s="29">
        <v>5.85</v>
      </c>
      <c r="E72" s="30">
        <v>113.81</v>
      </c>
      <c r="F72" s="31" t="s">
        <v>310</v>
      </c>
    </row>
    <row r="73" spans="1:6">
      <c r="A73" s="20" t="s">
        <v>142</v>
      </c>
      <c r="B73" s="20">
        <v>290051</v>
      </c>
      <c r="C73" s="20" t="s">
        <v>141</v>
      </c>
      <c r="D73" s="21">
        <v>3.38</v>
      </c>
      <c r="E73" s="22">
        <v>50.75</v>
      </c>
    </row>
    <row r="74" spans="1:6">
      <c r="A74" s="27" t="s">
        <v>215</v>
      </c>
      <c r="B74" s="27">
        <v>290051</v>
      </c>
      <c r="C74" s="27" t="s">
        <v>141</v>
      </c>
      <c r="D74" s="29">
        <v>5.97</v>
      </c>
      <c r="E74" s="30">
        <v>91.2</v>
      </c>
      <c r="F74" s="31" t="s">
        <v>310</v>
      </c>
    </row>
    <row r="75" spans="1:6">
      <c r="A75" s="27" t="s">
        <v>144</v>
      </c>
      <c r="B75" s="27">
        <v>290051</v>
      </c>
      <c r="C75" s="27" t="s">
        <v>141</v>
      </c>
      <c r="D75" s="29">
        <v>6.01</v>
      </c>
      <c r="E75" s="30">
        <f>53.6+52.72</f>
        <v>106.32</v>
      </c>
      <c r="F75" s="31" t="s">
        <v>310</v>
      </c>
    </row>
    <row r="76" spans="1:6">
      <c r="A76" s="19" t="s">
        <v>7</v>
      </c>
      <c r="B76" s="20"/>
      <c r="C76" s="20"/>
      <c r="D76" s="26">
        <f>SUM(D72:D75)</f>
        <v>21.21</v>
      </c>
      <c r="E76" s="25">
        <f>SUM(E72:E75)</f>
        <v>362.08</v>
      </c>
    </row>
    <row r="77" spans="1:6">
      <c r="A77" s="19"/>
      <c r="B77" s="20"/>
      <c r="C77" s="20"/>
      <c r="D77" s="26"/>
      <c r="E77" s="25"/>
    </row>
    <row r="78" spans="1:6">
      <c r="A78" s="47" t="s">
        <v>95</v>
      </c>
      <c r="B78" s="47" t="s">
        <v>180</v>
      </c>
      <c r="C78" s="47" t="s">
        <v>96</v>
      </c>
      <c r="D78" s="49">
        <v>14.08</v>
      </c>
      <c r="E78" s="50">
        <v>380.04</v>
      </c>
      <c r="F78" s="31" t="s">
        <v>310</v>
      </c>
    </row>
    <row r="79" spans="1:6">
      <c r="A79" s="19" t="s">
        <v>7</v>
      </c>
      <c r="B79" s="20"/>
      <c r="C79" s="20"/>
      <c r="D79" s="26">
        <f>SUM(D78)</f>
        <v>14.08</v>
      </c>
      <c r="E79" s="25">
        <f>SUM(E78)</f>
        <v>380.04</v>
      </c>
    </row>
    <row r="80" spans="1:6">
      <c r="A80" s="20"/>
      <c r="B80" s="20"/>
      <c r="C80" s="20"/>
      <c r="D80" s="21"/>
      <c r="E80" s="22"/>
    </row>
    <row r="81" spans="1:5">
      <c r="A81" s="20" t="s">
        <v>244</v>
      </c>
      <c r="B81" s="20">
        <v>400020</v>
      </c>
      <c r="C81" s="20" t="s">
        <v>98</v>
      </c>
      <c r="D81" s="21">
        <v>0.52</v>
      </c>
      <c r="E81" s="22">
        <v>12.4</v>
      </c>
    </row>
    <row r="82" spans="1:5">
      <c r="A82" s="20" t="s">
        <v>97</v>
      </c>
      <c r="B82" s="20" t="s">
        <v>181</v>
      </c>
      <c r="C82" s="20" t="s">
        <v>98</v>
      </c>
      <c r="D82" s="21">
        <v>1.1499999999999999</v>
      </c>
      <c r="E82" s="22">
        <v>34.17</v>
      </c>
    </row>
    <row r="83" spans="1:5">
      <c r="A83" s="19" t="s">
        <v>7</v>
      </c>
      <c r="B83" s="20"/>
      <c r="C83" s="20"/>
      <c r="D83" s="26">
        <f>SUM(D81:D82)</f>
        <v>1.67</v>
      </c>
      <c r="E83" s="25">
        <f>SUM(E81:E82)</f>
        <v>46.57</v>
      </c>
    </row>
    <row r="84" spans="1:5">
      <c r="A84" s="19"/>
      <c r="B84" s="20"/>
      <c r="C84" s="20"/>
      <c r="D84" s="26"/>
      <c r="E84" s="25"/>
    </row>
    <row r="85" spans="1:5">
      <c r="A85" s="20" t="s">
        <v>100</v>
      </c>
      <c r="B85" s="20">
        <v>400035</v>
      </c>
      <c r="C85" s="20" t="s">
        <v>101</v>
      </c>
      <c r="D85" s="21">
        <v>0.3</v>
      </c>
      <c r="E85" s="22">
        <v>8.6999999999999993</v>
      </c>
    </row>
    <row r="86" spans="1:5">
      <c r="A86" s="19" t="s">
        <v>7</v>
      </c>
      <c r="B86" s="20"/>
      <c r="C86" s="20"/>
      <c r="D86" s="26">
        <v>0.3</v>
      </c>
      <c r="E86" s="25">
        <v>8.6999999999999993</v>
      </c>
    </row>
    <row r="87" spans="1:5">
      <c r="A87" s="19"/>
      <c r="B87" s="20"/>
      <c r="C87" s="20"/>
      <c r="D87" s="26"/>
      <c r="E87" s="25"/>
    </row>
    <row r="88" spans="1:5">
      <c r="A88" s="20" t="s">
        <v>333</v>
      </c>
      <c r="B88" s="23" t="s">
        <v>185</v>
      </c>
      <c r="C88" s="20" t="s">
        <v>134</v>
      </c>
      <c r="D88" s="21">
        <v>0.93</v>
      </c>
      <c r="E88" s="22">
        <v>19.600000000000001</v>
      </c>
    </row>
    <row r="89" spans="1:5">
      <c r="A89" s="19" t="s">
        <v>7</v>
      </c>
      <c r="B89" s="23"/>
      <c r="C89" s="20"/>
      <c r="D89" s="26">
        <v>0.93</v>
      </c>
      <c r="E89" s="25">
        <v>19.600000000000001</v>
      </c>
    </row>
    <row r="90" spans="1:5">
      <c r="A90" s="19"/>
      <c r="B90" s="23"/>
      <c r="C90" s="20"/>
      <c r="D90" s="26"/>
      <c r="E90" s="25"/>
    </row>
    <row r="91" spans="1:5">
      <c r="A91" s="20" t="s">
        <v>346</v>
      </c>
      <c r="B91" s="23">
        <v>450046</v>
      </c>
      <c r="C91" s="20" t="s">
        <v>128</v>
      </c>
      <c r="D91" s="21">
        <v>1.85</v>
      </c>
      <c r="E91" s="22">
        <v>55.5</v>
      </c>
    </row>
    <row r="92" spans="1:5">
      <c r="A92" s="19" t="s">
        <v>7</v>
      </c>
      <c r="B92" s="23"/>
      <c r="C92" s="20"/>
      <c r="D92" s="26">
        <v>1.85</v>
      </c>
      <c r="E92" s="25">
        <v>55.5</v>
      </c>
    </row>
    <row r="93" spans="1:5">
      <c r="A93" s="19"/>
      <c r="B93" s="20"/>
      <c r="C93" s="20"/>
      <c r="D93" s="26"/>
      <c r="E93" s="25"/>
    </row>
    <row r="94" spans="1:5">
      <c r="A94" s="20" t="s">
        <v>130</v>
      </c>
      <c r="B94" s="20">
        <v>450049</v>
      </c>
      <c r="C94" s="20" t="s">
        <v>129</v>
      </c>
      <c r="D94" s="21">
        <v>0.72</v>
      </c>
      <c r="E94" s="22">
        <v>11.83</v>
      </c>
    </row>
    <row r="95" spans="1:5">
      <c r="A95" s="19" t="s">
        <v>7</v>
      </c>
      <c r="B95" s="20"/>
      <c r="C95" s="20"/>
      <c r="D95" s="26">
        <f>SUM(D94:D94)</f>
        <v>0.72</v>
      </c>
      <c r="E95" s="25">
        <f>SUM(E94:E94)</f>
        <v>11.83</v>
      </c>
    </row>
    <row r="96" spans="1:5">
      <c r="A96" s="19"/>
      <c r="B96" s="20"/>
      <c r="C96" s="20"/>
      <c r="D96" s="26"/>
      <c r="E96" s="25"/>
    </row>
    <row r="97" spans="1:6">
      <c r="A97" s="20" t="s">
        <v>190</v>
      </c>
      <c r="B97" s="20">
        <v>450051</v>
      </c>
      <c r="C97" s="20" t="s">
        <v>104</v>
      </c>
      <c r="D97" s="21">
        <v>0.65</v>
      </c>
      <c r="E97" s="22">
        <v>8.7799999999999994</v>
      </c>
    </row>
    <row r="98" spans="1:6">
      <c r="A98" s="20" t="s">
        <v>115</v>
      </c>
      <c r="B98" s="20">
        <v>450051</v>
      </c>
      <c r="C98" s="20" t="s">
        <v>104</v>
      </c>
      <c r="D98" s="21">
        <v>0.72</v>
      </c>
      <c r="E98" s="22">
        <v>11.59</v>
      </c>
    </row>
    <row r="99" spans="1:6">
      <c r="A99" s="20" t="s">
        <v>119</v>
      </c>
      <c r="B99" s="20">
        <v>450051</v>
      </c>
      <c r="C99" s="20" t="s">
        <v>104</v>
      </c>
      <c r="D99" s="21">
        <v>0.7</v>
      </c>
      <c r="E99" s="22">
        <v>11.78</v>
      </c>
    </row>
    <row r="100" spans="1:6">
      <c r="A100" s="20" t="s">
        <v>123</v>
      </c>
      <c r="B100" s="20">
        <v>450051</v>
      </c>
      <c r="C100" s="20" t="s">
        <v>104</v>
      </c>
      <c r="D100" s="21">
        <v>0.72</v>
      </c>
      <c r="E100" s="22">
        <v>12.15</v>
      </c>
    </row>
    <row r="101" spans="1:6">
      <c r="A101" s="32" t="s">
        <v>122</v>
      </c>
      <c r="B101" s="32">
        <v>450051</v>
      </c>
      <c r="C101" s="32" t="s">
        <v>104</v>
      </c>
      <c r="D101" s="33">
        <v>5.8</v>
      </c>
      <c r="E101" s="34">
        <v>81.69</v>
      </c>
      <c r="F101" s="31" t="s">
        <v>310</v>
      </c>
    </row>
    <row r="102" spans="1:6">
      <c r="A102" s="20" t="s">
        <v>106</v>
      </c>
      <c r="B102" s="20">
        <v>450051</v>
      </c>
      <c r="C102" s="20" t="s">
        <v>104</v>
      </c>
      <c r="D102" s="21">
        <v>0.55000000000000004</v>
      </c>
      <c r="E102" s="22">
        <v>9.08</v>
      </c>
    </row>
    <row r="103" spans="1:6">
      <c r="A103" s="20" t="s">
        <v>110</v>
      </c>
      <c r="B103" s="20">
        <v>450051</v>
      </c>
      <c r="C103" s="20" t="s">
        <v>104</v>
      </c>
      <c r="D103" s="21">
        <v>0.82</v>
      </c>
      <c r="E103" s="22">
        <v>13.78</v>
      </c>
    </row>
    <row r="104" spans="1:6">
      <c r="A104" s="20" t="s">
        <v>191</v>
      </c>
      <c r="B104" s="20">
        <v>450051</v>
      </c>
      <c r="C104" s="20" t="s">
        <v>104</v>
      </c>
      <c r="D104" s="21">
        <v>0.63</v>
      </c>
      <c r="E104" s="22">
        <v>9.74</v>
      </c>
    </row>
    <row r="105" spans="1:6">
      <c r="A105" s="20" t="s">
        <v>116</v>
      </c>
      <c r="B105" s="20">
        <v>450051</v>
      </c>
      <c r="C105" s="20" t="s">
        <v>104</v>
      </c>
      <c r="D105" s="21">
        <v>0.65</v>
      </c>
      <c r="E105" s="22">
        <v>9.8000000000000007</v>
      </c>
    </row>
    <row r="106" spans="1:6">
      <c r="A106" s="20" t="s">
        <v>118</v>
      </c>
      <c r="B106" s="20">
        <v>450051</v>
      </c>
      <c r="C106" s="20" t="s">
        <v>104</v>
      </c>
      <c r="D106" s="21">
        <v>0.57999999999999996</v>
      </c>
      <c r="E106" s="22">
        <v>13.13</v>
      </c>
    </row>
    <row r="107" spans="1:6">
      <c r="A107" s="20" t="s">
        <v>231</v>
      </c>
      <c r="B107" s="20">
        <v>450051</v>
      </c>
      <c r="C107" s="20" t="s">
        <v>104</v>
      </c>
      <c r="D107" s="21">
        <v>0.8</v>
      </c>
      <c r="E107" s="22">
        <v>10.8</v>
      </c>
    </row>
    <row r="108" spans="1:6">
      <c r="A108" s="20" t="s">
        <v>233</v>
      </c>
      <c r="B108" s="20">
        <v>450051</v>
      </c>
      <c r="C108" s="20" t="s">
        <v>104</v>
      </c>
      <c r="D108" s="21">
        <v>0.73</v>
      </c>
      <c r="E108" s="22">
        <v>9.9</v>
      </c>
    </row>
    <row r="109" spans="1:6">
      <c r="A109" s="20" t="s">
        <v>343</v>
      </c>
      <c r="B109" s="20">
        <v>450051</v>
      </c>
      <c r="C109" s="20" t="s">
        <v>104</v>
      </c>
      <c r="D109" s="21">
        <v>0.6</v>
      </c>
      <c r="E109" s="22">
        <v>8.1</v>
      </c>
    </row>
    <row r="110" spans="1:6">
      <c r="A110" s="19" t="s">
        <v>7</v>
      </c>
      <c r="B110" s="20"/>
      <c r="C110" s="20"/>
      <c r="D110" s="26">
        <f>SUM(D97:D109)</f>
        <v>13.950000000000003</v>
      </c>
      <c r="E110" s="25">
        <f>SUM(E97:E109)</f>
        <v>210.32000000000002</v>
      </c>
    </row>
    <row r="111" spans="1:6">
      <c r="A111" s="20"/>
      <c r="B111" s="20"/>
      <c r="C111" s="20"/>
      <c r="D111" s="21"/>
      <c r="E111" s="22"/>
    </row>
    <row r="112" spans="1:6">
      <c r="A112" s="32" t="s">
        <v>124</v>
      </c>
      <c r="B112" s="32">
        <v>450052</v>
      </c>
      <c r="C112" s="32" t="s">
        <v>126</v>
      </c>
      <c r="D112" s="33">
        <v>5.65</v>
      </c>
      <c r="E112" s="34">
        <v>127.13</v>
      </c>
      <c r="F112" s="31" t="s">
        <v>310</v>
      </c>
    </row>
    <row r="113" spans="1:5">
      <c r="A113" s="19" t="s">
        <v>7</v>
      </c>
      <c r="B113" s="20"/>
      <c r="C113" s="20"/>
      <c r="D113" s="26">
        <v>5.65</v>
      </c>
      <c r="E113" s="25">
        <v>127.13</v>
      </c>
    </row>
    <row r="114" spans="1:5">
      <c r="A114" s="20"/>
      <c r="B114" s="20"/>
      <c r="C114" s="20"/>
      <c r="D114" s="21"/>
      <c r="E114" s="22"/>
    </row>
    <row r="115" spans="1:5">
      <c r="A115" s="19" t="s">
        <v>194</v>
      </c>
      <c r="B115" s="20"/>
      <c r="C115" s="20"/>
      <c r="D115" s="26">
        <v>347.91</v>
      </c>
      <c r="E115" s="26">
        <v>7439.33</v>
      </c>
    </row>
    <row r="116" spans="1:5">
      <c r="A116" s="20"/>
      <c r="B116" s="20"/>
      <c r="C116" s="20"/>
      <c r="D116" s="21"/>
      <c r="E116" s="22"/>
    </row>
    <row r="117" spans="1:5">
      <c r="A117" s="19"/>
      <c r="B117" s="20"/>
      <c r="C117" s="20"/>
      <c r="D117" s="26"/>
      <c r="E117" s="25"/>
    </row>
    <row r="118" spans="1:5">
      <c r="A118" s="20"/>
      <c r="B118" s="20"/>
      <c r="C118" s="20"/>
      <c r="D118" s="21"/>
      <c r="E118" s="22"/>
    </row>
    <row r="119" spans="1:5">
      <c r="A119" s="20"/>
      <c r="B119" s="20"/>
      <c r="C119" s="20"/>
      <c r="D119" s="21"/>
      <c r="E119" s="22"/>
    </row>
    <row r="120" spans="1:5">
      <c r="A120" s="19"/>
      <c r="B120" s="20"/>
      <c r="C120" s="20"/>
      <c r="D120" s="26"/>
      <c r="E120" s="25"/>
    </row>
    <row r="121" spans="1:5">
      <c r="A121" s="19"/>
      <c r="B121" s="20"/>
      <c r="C121" s="20"/>
      <c r="D121" s="26"/>
      <c r="E121" s="25"/>
    </row>
    <row r="122" spans="1:5">
      <c r="A122" s="20"/>
      <c r="B122" s="20"/>
      <c r="C122" s="20"/>
      <c r="D122" s="21"/>
      <c r="E122" s="22"/>
    </row>
    <row r="123" spans="1:5">
      <c r="A123" s="19"/>
      <c r="B123" s="20"/>
      <c r="C123" s="20"/>
      <c r="D123" s="26"/>
      <c r="E123" s="25"/>
    </row>
    <row r="124" spans="1:5">
      <c r="A124" s="19"/>
      <c r="B124" s="20"/>
      <c r="C124" s="20"/>
      <c r="D124" s="26"/>
      <c r="E124" s="25"/>
    </row>
    <row r="125" spans="1:5">
      <c r="A125" s="20"/>
      <c r="B125" s="20"/>
      <c r="C125" s="20"/>
      <c r="D125" s="21"/>
      <c r="E125" s="22"/>
    </row>
    <row r="126" spans="1:5">
      <c r="A126" s="19"/>
      <c r="B126" s="20"/>
      <c r="C126" s="20"/>
      <c r="D126" s="26"/>
      <c r="E126" s="25"/>
    </row>
    <row r="127" spans="1:5">
      <c r="A127" s="19"/>
      <c r="B127" s="20"/>
      <c r="C127" s="20"/>
      <c r="D127" s="26"/>
      <c r="E127" s="25"/>
    </row>
    <row r="128" spans="1:5">
      <c r="A128" s="20"/>
      <c r="B128" s="20"/>
      <c r="C128" s="20"/>
      <c r="D128" s="21"/>
      <c r="E128" s="22"/>
    </row>
    <row r="129" spans="1:5">
      <c r="A129" s="20"/>
      <c r="B129" s="20"/>
      <c r="C129" s="20"/>
      <c r="D129" s="21"/>
      <c r="E129" s="22"/>
    </row>
    <row r="130" spans="1:5">
      <c r="A130" s="19"/>
      <c r="B130" s="20"/>
      <c r="C130" s="20"/>
      <c r="D130" s="26"/>
      <c r="E130" s="25"/>
    </row>
    <row r="131" spans="1:5">
      <c r="A131" s="19"/>
      <c r="B131" s="20"/>
      <c r="C131" s="20"/>
      <c r="D131" s="21"/>
      <c r="E131" s="22"/>
    </row>
    <row r="132" spans="1:5">
      <c r="A132" s="19"/>
      <c r="B132" s="20"/>
      <c r="C132" s="20"/>
      <c r="D132" s="26"/>
      <c r="E132" s="26"/>
    </row>
    <row r="133" spans="1:5">
      <c r="A133" s="20"/>
      <c r="B133" s="20"/>
      <c r="C133" s="20"/>
      <c r="D133" s="26"/>
      <c r="E133" s="25"/>
    </row>
    <row r="134" spans="1:5">
      <c r="A134" s="20"/>
      <c r="B134" s="20"/>
      <c r="C134" s="20"/>
      <c r="D134" s="20"/>
      <c r="E134" s="20"/>
    </row>
    <row r="135" spans="1:5">
      <c r="A135" s="20"/>
      <c r="B135" s="20"/>
      <c r="C135" s="20"/>
      <c r="D135" s="20"/>
      <c r="E135" s="20"/>
    </row>
    <row r="136" spans="1:5">
      <c r="A136" s="20"/>
      <c r="B136" s="20"/>
      <c r="C136" s="20"/>
      <c r="D136" s="20"/>
      <c r="E136" s="20"/>
    </row>
    <row r="137" spans="1:5">
      <c r="A137" s="20"/>
      <c r="B137" s="20"/>
      <c r="C137" s="20"/>
      <c r="D137" s="20"/>
      <c r="E137" s="20"/>
    </row>
    <row r="138" spans="1:5">
      <c r="A138" s="20"/>
      <c r="B138" s="20"/>
      <c r="C138" s="20"/>
      <c r="D138" s="20"/>
      <c r="E138" s="20"/>
    </row>
    <row r="139" spans="1:5">
      <c r="A139" s="20"/>
      <c r="B139" s="20"/>
      <c r="C139" s="20"/>
      <c r="D139" s="20"/>
      <c r="E139" s="20"/>
    </row>
    <row r="140" spans="1:5">
      <c r="A140" s="20"/>
      <c r="B140" s="20"/>
      <c r="C140" s="20"/>
      <c r="D140" s="20"/>
      <c r="E140" s="20"/>
    </row>
    <row r="141" spans="1:5">
      <c r="A141" s="20"/>
      <c r="B141" s="20"/>
      <c r="C141" s="20"/>
      <c r="D141" s="20"/>
      <c r="E141" s="20"/>
    </row>
    <row r="142" spans="1:5">
      <c r="A142" s="20"/>
      <c r="B142" s="20"/>
      <c r="C142" s="20"/>
      <c r="D142" s="20"/>
      <c r="E142" s="20"/>
    </row>
  </sheetData>
  <mergeCells count="1">
    <mergeCell ref="G4:I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78"/>
  <sheetViews>
    <sheetView workbookViewId="0">
      <selection activeCell="F55" sqref="F55"/>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13.85546875" style="18" bestFit="1" customWidth="1"/>
    <col min="7" max="7" width="29.85546875" style="18" customWidth="1"/>
    <col min="8" max="8" width="29.140625" style="18" customWidth="1"/>
    <col min="9" max="9" width="5.5703125" style="18" bestFit="1" customWidth="1"/>
    <col min="10" max="16384" width="9.140625" style="18"/>
  </cols>
  <sheetData>
    <row r="1" spans="1:9">
      <c r="A1" s="19" t="s">
        <v>147</v>
      </c>
      <c r="B1" s="19" t="s">
        <v>148</v>
      </c>
      <c r="C1" s="19" t="s">
        <v>149</v>
      </c>
      <c r="D1" s="19" t="s">
        <v>150</v>
      </c>
      <c r="E1" s="19" t="s">
        <v>151</v>
      </c>
      <c r="F1" s="11" t="s">
        <v>258</v>
      </c>
      <c r="G1" s="38" t="s">
        <v>259</v>
      </c>
      <c r="H1" s="93" t="s">
        <v>262</v>
      </c>
      <c r="I1" s="11"/>
    </row>
    <row r="2" spans="1:9">
      <c r="A2" s="20" t="s">
        <v>20</v>
      </c>
      <c r="B2" s="20" t="s">
        <v>152</v>
      </c>
      <c r="C2" s="20" t="s">
        <v>15</v>
      </c>
      <c r="D2" s="21">
        <v>0.9</v>
      </c>
      <c r="E2" s="22">
        <v>23.64</v>
      </c>
      <c r="G2" s="13">
        <f>E16+E19+E20+E28+E31+E55</f>
        <v>1542.55</v>
      </c>
      <c r="H2" s="94">
        <f>E44</f>
        <v>217</v>
      </c>
      <c r="I2" s="92"/>
    </row>
    <row r="3" spans="1:9">
      <c r="A3" s="20" t="s">
        <v>18</v>
      </c>
      <c r="B3" s="20" t="s">
        <v>152</v>
      </c>
      <c r="C3" s="20" t="s">
        <v>15</v>
      </c>
      <c r="D3" s="21">
        <v>0.28000000000000003</v>
      </c>
      <c r="E3" s="22">
        <v>7.89</v>
      </c>
    </row>
    <row r="4" spans="1:9">
      <c r="A4" s="19" t="s">
        <v>7</v>
      </c>
      <c r="B4" s="20"/>
      <c r="C4" s="20"/>
      <c r="D4" s="24">
        <f>SUM(D2:D3)</f>
        <v>1.1800000000000002</v>
      </c>
      <c r="E4" s="25">
        <f>SUM(E2:E3)</f>
        <v>31.53</v>
      </c>
      <c r="G4" s="305" t="s">
        <v>263</v>
      </c>
      <c r="H4" s="306"/>
      <c r="I4"/>
    </row>
    <row r="5" spans="1:9">
      <c r="A5" s="19"/>
      <c r="B5" s="20"/>
      <c r="C5" s="20"/>
      <c r="D5" s="26"/>
      <c r="E5" s="25"/>
    </row>
    <row r="6" spans="1:9">
      <c r="A6" s="20" t="s">
        <v>195</v>
      </c>
      <c r="B6" s="23" t="s">
        <v>155</v>
      </c>
      <c r="C6" s="20" t="s">
        <v>196</v>
      </c>
      <c r="D6" s="21">
        <v>0.33</v>
      </c>
      <c r="E6" s="22">
        <v>10</v>
      </c>
    </row>
    <row r="7" spans="1:9">
      <c r="A7" s="19" t="s">
        <v>7</v>
      </c>
      <c r="B7" s="20"/>
      <c r="C7" s="20"/>
      <c r="D7" s="26">
        <f>SUM(D6:D6)</f>
        <v>0.33</v>
      </c>
      <c r="E7" s="25">
        <f>SUM(E6:E6)</f>
        <v>10</v>
      </c>
    </row>
    <row r="8" spans="1:9">
      <c r="A8" s="19"/>
      <c r="B8" s="20"/>
      <c r="C8" s="20"/>
      <c r="D8" s="26"/>
      <c r="E8" s="25"/>
    </row>
    <row r="9" spans="1:9">
      <c r="A9" s="20" t="s">
        <v>14</v>
      </c>
      <c r="B9" s="23" t="s">
        <v>156</v>
      </c>
      <c r="C9" s="20" t="s">
        <v>91</v>
      </c>
      <c r="D9" s="21">
        <v>0.22</v>
      </c>
      <c r="E9" s="22">
        <v>5.69</v>
      </c>
    </row>
    <row r="10" spans="1:9">
      <c r="A10" s="20" t="s">
        <v>335</v>
      </c>
      <c r="B10" s="23" t="s">
        <v>156</v>
      </c>
      <c r="C10" s="20" t="s">
        <v>91</v>
      </c>
      <c r="D10" s="21">
        <v>1.2</v>
      </c>
      <c r="E10" s="22">
        <v>33.299999999999997</v>
      </c>
    </row>
    <row r="11" spans="1:9">
      <c r="A11" s="20" t="s">
        <v>92</v>
      </c>
      <c r="B11" s="23" t="s">
        <v>156</v>
      </c>
      <c r="C11" s="20" t="s">
        <v>91</v>
      </c>
      <c r="D11" s="21">
        <v>0.42</v>
      </c>
      <c r="E11" s="22">
        <v>11.03</v>
      </c>
    </row>
    <row r="12" spans="1:9">
      <c r="A12" s="19" t="s">
        <v>7</v>
      </c>
      <c r="B12" s="20"/>
      <c r="C12" s="20"/>
      <c r="D12" s="26">
        <f>SUM(D9:D11)</f>
        <v>1.8399999999999999</v>
      </c>
      <c r="E12" s="25">
        <f>SUM(E9:E11)</f>
        <v>50.019999999999996</v>
      </c>
    </row>
    <row r="13" spans="1:9">
      <c r="A13" s="20"/>
      <c r="B13" s="20"/>
      <c r="C13" s="20"/>
      <c r="D13" s="21"/>
      <c r="E13" s="22"/>
    </row>
    <row r="14" spans="1:9">
      <c r="A14" s="20" t="s">
        <v>336</v>
      </c>
      <c r="B14" s="23" t="s">
        <v>157</v>
      </c>
      <c r="C14" s="20" t="s">
        <v>66</v>
      </c>
      <c r="D14" s="21">
        <v>0.25</v>
      </c>
      <c r="E14" s="22">
        <v>4.6900000000000004</v>
      </c>
    </row>
    <row r="15" spans="1:9">
      <c r="A15" s="20" t="s">
        <v>266</v>
      </c>
      <c r="B15" s="23" t="s">
        <v>157</v>
      </c>
      <c r="C15" s="20" t="s">
        <v>66</v>
      </c>
      <c r="D15" s="21">
        <v>0.45</v>
      </c>
      <c r="E15" s="22">
        <v>8.7799999999999994</v>
      </c>
    </row>
    <row r="16" spans="1:9">
      <c r="A16" s="27" t="s">
        <v>228</v>
      </c>
      <c r="B16" s="28" t="s">
        <v>157</v>
      </c>
      <c r="C16" s="27" t="s">
        <v>66</v>
      </c>
      <c r="D16" s="29">
        <v>4.33</v>
      </c>
      <c r="E16" s="30">
        <v>84.5</v>
      </c>
      <c r="F16" s="31" t="s">
        <v>310</v>
      </c>
    </row>
    <row r="17" spans="1:6">
      <c r="A17" s="20" t="s">
        <v>210</v>
      </c>
      <c r="B17" s="23" t="s">
        <v>157</v>
      </c>
      <c r="C17" s="20" t="s">
        <v>66</v>
      </c>
      <c r="D17" s="20">
        <v>1</v>
      </c>
      <c r="E17" s="22">
        <v>21</v>
      </c>
    </row>
    <row r="18" spans="1:6">
      <c r="A18" s="20" t="s">
        <v>89</v>
      </c>
      <c r="B18" s="23" t="s">
        <v>157</v>
      </c>
      <c r="C18" s="20" t="s">
        <v>66</v>
      </c>
      <c r="D18" s="20">
        <v>3.47</v>
      </c>
      <c r="E18" s="22">
        <v>67.599999999999994</v>
      </c>
    </row>
    <row r="19" spans="1:6">
      <c r="A19" s="27" t="s">
        <v>85</v>
      </c>
      <c r="B19" s="28" t="s">
        <v>157</v>
      </c>
      <c r="C19" s="27" t="s">
        <v>66</v>
      </c>
      <c r="D19" s="27">
        <v>13.03</v>
      </c>
      <c r="E19" s="30">
        <v>312.02</v>
      </c>
      <c r="F19" s="31" t="s">
        <v>310</v>
      </c>
    </row>
    <row r="20" spans="1:6">
      <c r="A20" s="27" t="s">
        <v>159</v>
      </c>
      <c r="B20" s="28" t="s">
        <v>157</v>
      </c>
      <c r="C20" s="27" t="s">
        <v>66</v>
      </c>
      <c r="D20" s="91">
        <v>8.18</v>
      </c>
      <c r="E20" s="30">
        <v>159.58000000000001</v>
      </c>
      <c r="F20" s="31" t="s">
        <v>310</v>
      </c>
    </row>
    <row r="21" spans="1:6">
      <c r="A21" s="20" t="s">
        <v>88</v>
      </c>
      <c r="B21" s="23" t="s">
        <v>157</v>
      </c>
      <c r="C21" s="20" t="s">
        <v>66</v>
      </c>
      <c r="D21" s="55">
        <v>1.72</v>
      </c>
      <c r="E21" s="22">
        <v>36.049999999999997</v>
      </c>
    </row>
    <row r="22" spans="1:6">
      <c r="A22" s="20" t="s">
        <v>328</v>
      </c>
      <c r="B22" s="23" t="s">
        <v>157</v>
      </c>
      <c r="C22" s="20" t="s">
        <v>66</v>
      </c>
      <c r="D22" s="20">
        <v>6.2</v>
      </c>
      <c r="E22" s="22">
        <v>139.5</v>
      </c>
    </row>
    <row r="23" spans="1:6">
      <c r="A23" s="20" t="s">
        <v>79</v>
      </c>
      <c r="B23" s="23" t="s">
        <v>157</v>
      </c>
      <c r="C23" s="20" t="s">
        <v>66</v>
      </c>
      <c r="D23" s="20">
        <v>1.53</v>
      </c>
      <c r="E23" s="22">
        <v>35.65</v>
      </c>
    </row>
    <row r="24" spans="1:6">
      <c r="A24" s="20" t="s">
        <v>161</v>
      </c>
      <c r="B24" s="23" t="s">
        <v>157</v>
      </c>
      <c r="C24" s="20" t="s">
        <v>66</v>
      </c>
      <c r="D24" s="20">
        <v>1.83</v>
      </c>
      <c r="E24" s="22">
        <v>35.75</v>
      </c>
    </row>
    <row r="25" spans="1:6">
      <c r="A25" s="19" t="s">
        <v>7</v>
      </c>
      <c r="B25" s="20"/>
      <c r="C25" s="20"/>
      <c r="D25" s="26">
        <f>SUM(D14:D24)</f>
        <v>41.99</v>
      </c>
      <c r="E25" s="25">
        <f>SUM(E14:E24)</f>
        <v>905.11999999999989</v>
      </c>
    </row>
    <row r="26" spans="1:6">
      <c r="A26" s="19"/>
      <c r="B26" s="20"/>
      <c r="C26" s="20"/>
      <c r="D26" s="26"/>
      <c r="E26" s="25"/>
    </row>
    <row r="27" spans="1:6">
      <c r="A27" s="20" t="s">
        <v>52</v>
      </c>
      <c r="B27" s="23" t="s">
        <v>162</v>
      </c>
      <c r="C27" s="20" t="s">
        <v>51</v>
      </c>
      <c r="D27" s="21">
        <v>0.25</v>
      </c>
      <c r="E27" s="22">
        <v>5.63</v>
      </c>
    </row>
    <row r="28" spans="1:6">
      <c r="A28" s="27" t="s">
        <v>163</v>
      </c>
      <c r="B28" s="28" t="s">
        <v>162</v>
      </c>
      <c r="C28" s="27" t="s">
        <v>51</v>
      </c>
      <c r="D28" s="29">
        <v>23.5</v>
      </c>
      <c r="E28" s="30">
        <f>516+48</f>
        <v>564</v>
      </c>
      <c r="F28" s="31" t="s">
        <v>310</v>
      </c>
    </row>
    <row r="29" spans="1:6">
      <c r="A29" s="19" t="s">
        <v>7</v>
      </c>
      <c r="B29" s="20"/>
      <c r="C29" s="20"/>
      <c r="D29" s="26">
        <f>SUM(D27:D28)</f>
        <v>23.75</v>
      </c>
      <c r="E29" s="25">
        <f>SUM(E27:E28)</f>
        <v>569.63</v>
      </c>
    </row>
    <row r="30" spans="1:6">
      <c r="A30" s="19"/>
      <c r="B30" s="20"/>
      <c r="C30" s="20"/>
      <c r="D30" s="26"/>
      <c r="E30" s="25"/>
    </row>
    <row r="31" spans="1:6">
      <c r="A31" s="27" t="s">
        <v>84</v>
      </c>
      <c r="B31" s="28" t="s">
        <v>164</v>
      </c>
      <c r="C31" s="27" t="s">
        <v>60</v>
      </c>
      <c r="D31" s="29">
        <v>5.23</v>
      </c>
      <c r="E31" s="30">
        <v>109.9</v>
      </c>
      <c r="F31" s="31" t="s">
        <v>310</v>
      </c>
    </row>
    <row r="32" spans="1:6">
      <c r="A32" s="20" t="s">
        <v>329</v>
      </c>
      <c r="B32" s="23" t="s">
        <v>164</v>
      </c>
      <c r="C32" s="20" t="s">
        <v>60</v>
      </c>
      <c r="D32" s="21">
        <v>0.67</v>
      </c>
      <c r="E32" s="22">
        <v>18</v>
      </c>
    </row>
    <row r="33" spans="1:6">
      <c r="A33" s="19" t="s">
        <v>7</v>
      </c>
      <c r="B33" s="20"/>
      <c r="C33" s="20"/>
      <c r="D33" s="26">
        <f>SUM(D31:D32)</f>
        <v>5.9</v>
      </c>
      <c r="E33" s="25">
        <f>SUM(E31:E32)</f>
        <v>127.9</v>
      </c>
    </row>
    <row r="34" spans="1:6">
      <c r="A34" s="19"/>
      <c r="B34" s="20"/>
      <c r="C34" s="20"/>
      <c r="D34" s="26"/>
      <c r="E34" s="25"/>
    </row>
    <row r="35" spans="1:6">
      <c r="A35" s="20" t="s">
        <v>339</v>
      </c>
      <c r="B35" s="23" t="s">
        <v>165</v>
      </c>
      <c r="C35" s="20" t="s">
        <v>45</v>
      </c>
      <c r="D35" s="21">
        <v>0.83</v>
      </c>
      <c r="E35" s="22">
        <v>16.25</v>
      </c>
    </row>
    <row r="36" spans="1:6">
      <c r="A36" s="19" t="s">
        <v>7</v>
      </c>
      <c r="B36" s="20"/>
      <c r="C36" s="20"/>
      <c r="D36" s="26">
        <v>0.83</v>
      </c>
      <c r="E36" s="25">
        <v>16.25</v>
      </c>
    </row>
    <row r="37" spans="1:6">
      <c r="A37" s="19"/>
      <c r="B37" s="20"/>
      <c r="C37" s="20"/>
      <c r="D37" s="26"/>
      <c r="E37" s="25"/>
    </row>
    <row r="38" spans="1:6">
      <c r="A38" s="20" t="s">
        <v>253</v>
      </c>
      <c r="B38" s="23" t="s">
        <v>167</v>
      </c>
      <c r="C38" s="20" t="s">
        <v>54</v>
      </c>
      <c r="D38" s="21">
        <v>2.2200000000000002</v>
      </c>
      <c r="E38" s="22">
        <v>46.55</v>
      </c>
    </row>
    <row r="39" spans="1:6">
      <c r="A39" s="20" t="s">
        <v>270</v>
      </c>
      <c r="B39" s="23" t="s">
        <v>167</v>
      </c>
      <c r="C39" s="20" t="s">
        <v>54</v>
      </c>
      <c r="D39" s="21">
        <v>0.27</v>
      </c>
      <c r="E39" s="22">
        <v>7.2</v>
      </c>
    </row>
    <row r="40" spans="1:6">
      <c r="A40" s="20" t="s">
        <v>340</v>
      </c>
      <c r="B40" s="23" t="s">
        <v>167</v>
      </c>
      <c r="C40" s="20" t="s">
        <v>54</v>
      </c>
      <c r="D40" s="21">
        <v>0.37</v>
      </c>
      <c r="E40" s="22">
        <v>7.98</v>
      </c>
    </row>
    <row r="41" spans="1:6">
      <c r="A41" s="19" t="s">
        <v>7</v>
      </c>
      <c r="B41" s="23"/>
      <c r="C41" s="20"/>
      <c r="D41" s="26">
        <f>SUM(D38:D40)</f>
        <v>2.8600000000000003</v>
      </c>
      <c r="E41" s="25">
        <f>SUM(E38:E40)</f>
        <v>61.730000000000004</v>
      </c>
    </row>
    <row r="42" spans="1:6">
      <c r="A42" s="19"/>
      <c r="B42" s="23"/>
      <c r="C42" s="20"/>
      <c r="D42" s="26"/>
      <c r="E42" s="25"/>
    </row>
    <row r="43" spans="1:6">
      <c r="A43" s="20" t="s">
        <v>286</v>
      </c>
      <c r="B43" s="20" t="s">
        <v>171</v>
      </c>
      <c r="C43" s="20" t="s">
        <v>25</v>
      </c>
      <c r="D43" s="21">
        <v>3.03</v>
      </c>
      <c r="E43" s="22">
        <v>77.349999999999994</v>
      </c>
    </row>
    <row r="44" spans="1:6">
      <c r="A44" s="95" t="s">
        <v>306</v>
      </c>
      <c r="B44" s="96" t="s">
        <v>171</v>
      </c>
      <c r="C44" s="95" t="s">
        <v>25</v>
      </c>
      <c r="D44" s="97">
        <v>8.27</v>
      </c>
      <c r="E44" s="98">
        <v>217</v>
      </c>
      <c r="F44" s="31" t="s">
        <v>310</v>
      </c>
    </row>
    <row r="45" spans="1:6">
      <c r="A45" s="19" t="s">
        <v>7</v>
      </c>
      <c r="B45" s="20"/>
      <c r="C45" s="20"/>
      <c r="D45" s="26">
        <f>SUM(D43:D44)</f>
        <v>11.299999999999999</v>
      </c>
      <c r="E45" s="25">
        <f>SUM(E43:E44)</f>
        <v>294.35000000000002</v>
      </c>
    </row>
    <row r="46" spans="1:6">
      <c r="A46" s="19"/>
      <c r="B46" s="20"/>
      <c r="C46" s="20"/>
      <c r="D46" s="26"/>
      <c r="E46" s="25"/>
    </row>
    <row r="47" spans="1:6">
      <c r="A47" s="20" t="s">
        <v>347</v>
      </c>
      <c r="B47" s="23" t="s">
        <v>172</v>
      </c>
      <c r="C47" s="20" t="s">
        <v>348</v>
      </c>
      <c r="D47" s="21">
        <v>0.42</v>
      </c>
      <c r="E47" s="22">
        <v>11.25</v>
      </c>
    </row>
    <row r="48" spans="1:6">
      <c r="A48" s="20" t="s">
        <v>13</v>
      </c>
      <c r="B48" s="23" t="s">
        <v>172</v>
      </c>
      <c r="C48" s="20" t="s">
        <v>348</v>
      </c>
      <c r="D48" s="21">
        <v>1.22</v>
      </c>
      <c r="E48" s="22">
        <v>45.19</v>
      </c>
    </row>
    <row r="49" spans="1:6">
      <c r="A49" s="19" t="s">
        <v>7</v>
      </c>
      <c r="B49" s="20"/>
      <c r="C49" s="20"/>
      <c r="D49" s="26">
        <f>SUM(D47:D48)</f>
        <v>1.64</v>
      </c>
      <c r="E49" s="25">
        <f>SUM(E47:E48)</f>
        <v>56.44</v>
      </c>
    </row>
    <row r="50" spans="1:6">
      <c r="A50" s="20"/>
      <c r="B50" s="20"/>
      <c r="C50" s="20"/>
      <c r="D50" s="21"/>
      <c r="E50" s="22"/>
    </row>
    <row r="51" spans="1:6">
      <c r="A51" s="20" t="s">
        <v>307</v>
      </c>
      <c r="B51" s="20">
        <v>100035</v>
      </c>
      <c r="C51" s="20" t="s">
        <v>332</v>
      </c>
      <c r="D51" s="21">
        <v>1.42</v>
      </c>
      <c r="E51" s="22">
        <f>36.06*D51</f>
        <v>51.205199999999998</v>
      </c>
    </row>
    <row r="52" spans="1:6">
      <c r="A52" s="20" t="s">
        <v>331</v>
      </c>
      <c r="B52" s="20">
        <v>100035</v>
      </c>
      <c r="C52" s="20" t="s">
        <v>332</v>
      </c>
      <c r="D52" s="21">
        <v>0.37</v>
      </c>
      <c r="E52" s="22">
        <v>11</v>
      </c>
    </row>
    <row r="53" spans="1:6">
      <c r="A53" s="19" t="s">
        <v>7</v>
      </c>
      <c r="B53" s="20"/>
      <c r="C53" s="20"/>
      <c r="D53" s="26">
        <f>SUM(D51:D52)</f>
        <v>1.79</v>
      </c>
      <c r="E53" s="25">
        <f>SUM(E51:E52)</f>
        <v>62.205199999999998</v>
      </c>
    </row>
    <row r="54" spans="1:6">
      <c r="A54" s="19"/>
      <c r="B54" s="20"/>
      <c r="C54" s="20"/>
      <c r="D54" s="21"/>
      <c r="E54" s="22"/>
    </row>
    <row r="55" spans="1:6">
      <c r="A55" s="27" t="s">
        <v>36</v>
      </c>
      <c r="B55" s="27">
        <v>100051</v>
      </c>
      <c r="C55" s="27" t="s">
        <v>34</v>
      </c>
      <c r="D55" s="29">
        <v>14.88</v>
      </c>
      <c r="E55" s="30">
        <v>312.55</v>
      </c>
      <c r="F55" s="31" t="s">
        <v>310</v>
      </c>
    </row>
    <row r="56" spans="1:6">
      <c r="A56" s="19" t="s">
        <v>7</v>
      </c>
      <c r="B56" s="20"/>
      <c r="C56" s="20"/>
      <c r="D56" s="26">
        <f>SUM(D55:D55)</f>
        <v>14.88</v>
      </c>
      <c r="E56" s="25">
        <f>SUM(E55:E55)</f>
        <v>312.55</v>
      </c>
    </row>
    <row r="57" spans="1:6">
      <c r="A57" s="19"/>
      <c r="B57" s="20"/>
      <c r="C57" s="20"/>
      <c r="D57" s="26"/>
      <c r="E57" s="25"/>
    </row>
    <row r="58" spans="1:6">
      <c r="A58" s="20" t="s">
        <v>42</v>
      </c>
      <c r="B58" s="20">
        <v>100052</v>
      </c>
      <c r="C58" s="20" t="s">
        <v>43</v>
      </c>
      <c r="D58" s="21">
        <v>0.2</v>
      </c>
      <c r="E58" s="22">
        <v>5.93</v>
      </c>
    </row>
    <row r="59" spans="1:6">
      <c r="A59" s="19" t="s">
        <v>7</v>
      </c>
      <c r="B59" s="20"/>
      <c r="C59" s="20"/>
      <c r="D59" s="26">
        <v>0.2</v>
      </c>
      <c r="E59" s="25">
        <v>5.93</v>
      </c>
    </row>
    <row r="60" spans="1:6">
      <c r="A60" s="19"/>
      <c r="B60" s="20"/>
      <c r="C60" s="20"/>
      <c r="D60" s="26"/>
      <c r="E60" s="25"/>
    </row>
    <row r="61" spans="1:6">
      <c r="A61" s="20" t="s">
        <v>95</v>
      </c>
      <c r="B61" s="20" t="s">
        <v>180</v>
      </c>
      <c r="C61" s="20" t="s">
        <v>96</v>
      </c>
      <c r="D61" s="21">
        <v>1.18</v>
      </c>
      <c r="E61" s="22">
        <v>31.93</v>
      </c>
    </row>
    <row r="62" spans="1:6">
      <c r="A62" s="19" t="s">
        <v>7</v>
      </c>
      <c r="B62" s="20"/>
      <c r="C62" s="20"/>
      <c r="D62" s="26">
        <f>SUM(D61)</f>
        <v>1.18</v>
      </c>
      <c r="E62" s="25">
        <f>SUM(E61)</f>
        <v>31.93</v>
      </c>
    </row>
    <row r="63" spans="1:6">
      <c r="A63" s="20"/>
      <c r="B63" s="20"/>
      <c r="C63" s="20"/>
      <c r="D63" s="21"/>
      <c r="E63" s="22"/>
    </row>
    <row r="64" spans="1:6">
      <c r="A64" s="20" t="s">
        <v>244</v>
      </c>
      <c r="B64" s="20">
        <v>400020</v>
      </c>
      <c r="C64" s="20" t="s">
        <v>98</v>
      </c>
      <c r="D64" s="21">
        <v>1</v>
      </c>
      <c r="E64" s="22">
        <v>24</v>
      </c>
    </row>
    <row r="65" spans="1:5">
      <c r="A65" s="20" t="s">
        <v>97</v>
      </c>
      <c r="B65" s="20" t="s">
        <v>181</v>
      </c>
      <c r="C65" s="20" t="s">
        <v>98</v>
      </c>
      <c r="D65" s="21">
        <v>1.02</v>
      </c>
      <c r="E65" s="22">
        <v>31.11</v>
      </c>
    </row>
    <row r="66" spans="1:5">
      <c r="A66" s="19" t="s">
        <v>7</v>
      </c>
      <c r="B66" s="20"/>
      <c r="C66" s="20"/>
      <c r="D66" s="26">
        <f>SUM(D64:D65)</f>
        <v>2.02</v>
      </c>
      <c r="E66" s="25">
        <f>SUM(E64:E65)</f>
        <v>55.11</v>
      </c>
    </row>
    <row r="67" spans="1:5">
      <c r="A67" s="19"/>
      <c r="B67" s="20"/>
      <c r="C67" s="20"/>
      <c r="D67" s="26"/>
      <c r="E67" s="25"/>
    </row>
    <row r="68" spans="1:5">
      <c r="A68" s="20" t="s">
        <v>333</v>
      </c>
      <c r="B68" s="23" t="s">
        <v>185</v>
      </c>
      <c r="C68" s="20" t="s">
        <v>134</v>
      </c>
      <c r="D68" s="21">
        <v>3.15</v>
      </c>
      <c r="E68" s="22">
        <v>66.150000000000006</v>
      </c>
    </row>
    <row r="69" spans="1:5">
      <c r="A69" s="19" t="s">
        <v>7</v>
      </c>
      <c r="B69" s="23"/>
      <c r="C69" s="20"/>
      <c r="D69" s="26">
        <v>3.15</v>
      </c>
      <c r="E69" s="25">
        <v>66.150000000000006</v>
      </c>
    </row>
    <row r="70" spans="1:5">
      <c r="A70" s="19"/>
      <c r="B70" s="23"/>
      <c r="C70" s="20"/>
      <c r="D70" s="26"/>
      <c r="E70" s="25"/>
    </row>
    <row r="71" spans="1:5">
      <c r="A71" s="20" t="s">
        <v>346</v>
      </c>
      <c r="B71" s="23">
        <v>450046</v>
      </c>
      <c r="C71" s="20" t="s">
        <v>128</v>
      </c>
      <c r="D71" s="21">
        <v>0.53</v>
      </c>
      <c r="E71" s="22">
        <v>16</v>
      </c>
    </row>
    <row r="72" spans="1:5">
      <c r="A72" s="19" t="s">
        <v>7</v>
      </c>
      <c r="B72" s="23"/>
      <c r="C72" s="20"/>
      <c r="D72" s="26">
        <v>0.53</v>
      </c>
      <c r="E72" s="25">
        <v>16</v>
      </c>
    </row>
    <row r="73" spans="1:5">
      <c r="A73" s="19"/>
      <c r="B73" s="20"/>
      <c r="C73" s="20"/>
      <c r="D73" s="26"/>
      <c r="E73" s="25"/>
    </row>
    <row r="74" spans="1:5">
      <c r="A74" s="20" t="s">
        <v>282</v>
      </c>
      <c r="B74" s="20">
        <v>450049</v>
      </c>
      <c r="C74" s="20" t="s">
        <v>129</v>
      </c>
      <c r="D74" s="21">
        <v>1.67</v>
      </c>
      <c r="E74" s="22">
        <v>40.229999999999997</v>
      </c>
    </row>
    <row r="75" spans="1:5">
      <c r="A75" s="19" t="s">
        <v>7</v>
      </c>
      <c r="B75" s="20"/>
      <c r="C75" s="20"/>
      <c r="D75" s="26">
        <f>SUM(D74:D74)</f>
        <v>1.67</v>
      </c>
      <c r="E75" s="25">
        <f>SUM(E74:E74)</f>
        <v>40.229999999999997</v>
      </c>
    </row>
    <row r="76" spans="1:5">
      <c r="A76" s="19"/>
      <c r="B76" s="20"/>
      <c r="C76" s="20"/>
      <c r="D76" s="26"/>
      <c r="E76" s="25"/>
    </row>
    <row r="77" spans="1:5">
      <c r="A77" s="20"/>
      <c r="B77" s="20"/>
      <c r="C77" s="20"/>
      <c r="D77" s="21"/>
      <c r="E77" s="22"/>
    </row>
    <row r="78" spans="1:5">
      <c r="A78" s="19" t="s">
        <v>194</v>
      </c>
      <c r="B78" s="20"/>
      <c r="C78" s="20"/>
      <c r="D78" s="26">
        <v>117.07</v>
      </c>
      <c r="E78" s="26">
        <v>2662.87</v>
      </c>
    </row>
  </sheetData>
  <mergeCells count="1">
    <mergeCell ref="G4:H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4"/>
  <sheetViews>
    <sheetView workbookViewId="0">
      <selection activeCell="C13" sqref="C13"/>
    </sheetView>
  </sheetViews>
  <sheetFormatPr defaultRowHeight="12.75"/>
  <cols>
    <col min="1" max="1" width="10" bestFit="1" customWidth="1"/>
    <col min="2" max="2" width="11.28515625" style="18" bestFit="1" customWidth="1"/>
    <col min="3" max="3" width="17.28515625" style="18" bestFit="1" customWidth="1"/>
    <col min="4" max="4" width="17.28515625" bestFit="1" customWidth="1"/>
    <col min="5" max="5" width="12.28515625" bestFit="1" customWidth="1"/>
  </cols>
  <sheetData>
    <row r="1" spans="1:5" s="35" customFormat="1">
      <c r="A1" s="35" t="s">
        <v>349</v>
      </c>
      <c r="B1" s="35" t="s">
        <v>350</v>
      </c>
      <c r="C1" s="35" t="s">
        <v>351</v>
      </c>
      <c r="D1" s="35" t="s">
        <v>352</v>
      </c>
      <c r="E1" s="35" t="s">
        <v>353</v>
      </c>
    </row>
    <row r="2" spans="1:5">
      <c r="A2" s="18" t="s">
        <v>354</v>
      </c>
      <c r="B2" s="18">
        <v>486.69</v>
      </c>
      <c r="C2" s="36">
        <v>10342.49</v>
      </c>
      <c r="D2" s="53">
        <v>17050</v>
      </c>
      <c r="E2" s="54">
        <f t="shared" ref="E2:E13" si="0">D2-C2</f>
        <v>6707.51</v>
      </c>
    </row>
    <row r="3" spans="1:5">
      <c r="A3" s="18" t="s">
        <v>355</v>
      </c>
      <c r="B3" s="18">
        <v>103.41</v>
      </c>
      <c r="C3" s="36">
        <v>2664.79</v>
      </c>
      <c r="D3" s="53">
        <v>17050</v>
      </c>
      <c r="E3" s="54">
        <f t="shared" si="0"/>
        <v>14385.21</v>
      </c>
    </row>
    <row r="4" spans="1:5">
      <c r="A4" s="18" t="s">
        <v>356</v>
      </c>
      <c r="B4" s="18">
        <v>298.70999999999998</v>
      </c>
      <c r="C4" s="36">
        <v>6444.5</v>
      </c>
      <c r="D4" s="53">
        <v>17050</v>
      </c>
      <c r="E4" s="54">
        <f t="shared" si="0"/>
        <v>10605.5</v>
      </c>
    </row>
    <row r="5" spans="1:5">
      <c r="A5" s="18" t="s">
        <v>357</v>
      </c>
      <c r="B5" s="18">
        <v>357.85</v>
      </c>
      <c r="C5" s="36">
        <v>7481.65</v>
      </c>
      <c r="D5" s="53">
        <v>17050</v>
      </c>
      <c r="E5" s="54">
        <f t="shared" si="0"/>
        <v>9568.35</v>
      </c>
    </row>
    <row r="6" spans="1:5">
      <c r="A6" s="18" t="s">
        <v>358</v>
      </c>
      <c r="B6" s="18">
        <v>155.51</v>
      </c>
      <c r="C6" s="36">
        <v>3487.93</v>
      </c>
      <c r="D6" s="53">
        <v>24950.1</v>
      </c>
      <c r="E6" s="54">
        <f t="shared" si="0"/>
        <v>21462.17</v>
      </c>
    </row>
    <row r="7" spans="1:5">
      <c r="A7" s="18" t="s">
        <v>359</v>
      </c>
      <c r="B7" s="18">
        <v>393.14</v>
      </c>
      <c r="C7" s="36">
        <v>8425.99</v>
      </c>
      <c r="D7" s="53">
        <v>33895.370000000003</v>
      </c>
      <c r="E7" s="54">
        <f t="shared" si="0"/>
        <v>25469.380000000005</v>
      </c>
    </row>
    <row r="8" spans="1:5">
      <c r="A8" s="18" t="s">
        <v>360</v>
      </c>
      <c r="B8" s="18">
        <v>507.87</v>
      </c>
      <c r="C8" s="36">
        <v>10509.01</v>
      </c>
      <c r="D8" s="53">
        <v>24995.02</v>
      </c>
      <c r="E8" s="54">
        <f t="shared" si="0"/>
        <v>14486.01</v>
      </c>
    </row>
    <row r="9" spans="1:5">
      <c r="A9" s="18" t="s">
        <v>361</v>
      </c>
      <c r="B9" s="18">
        <v>435.03</v>
      </c>
      <c r="C9" s="36">
        <v>9161.42</v>
      </c>
      <c r="D9" s="53">
        <v>21602.54</v>
      </c>
      <c r="E9" s="54">
        <f t="shared" si="0"/>
        <v>12441.12</v>
      </c>
    </row>
    <row r="10" spans="1:5">
      <c r="A10" s="18" t="s">
        <v>362</v>
      </c>
      <c r="B10" s="18">
        <v>483.85</v>
      </c>
      <c r="C10" s="36">
        <v>10080.98</v>
      </c>
      <c r="D10" s="53">
        <v>12851.55</v>
      </c>
      <c r="E10" s="54">
        <f t="shared" si="0"/>
        <v>2770.5699999999997</v>
      </c>
    </row>
    <row r="11" spans="1:5">
      <c r="A11" s="18" t="s">
        <v>363</v>
      </c>
      <c r="B11" s="18">
        <v>407.64</v>
      </c>
      <c r="C11" s="36">
        <v>8844.92</v>
      </c>
      <c r="D11" s="53">
        <v>17546.689999999999</v>
      </c>
      <c r="E11" s="54">
        <f t="shared" si="0"/>
        <v>8701.7699999999986</v>
      </c>
    </row>
    <row r="12" spans="1:5">
      <c r="A12" s="18" t="s">
        <v>364</v>
      </c>
      <c r="B12" s="18">
        <v>347.91</v>
      </c>
      <c r="C12" s="36">
        <v>7439.33</v>
      </c>
      <c r="D12" s="53">
        <v>11883.6</v>
      </c>
      <c r="E12" s="54">
        <f t="shared" si="0"/>
        <v>4444.2700000000004</v>
      </c>
    </row>
    <row r="13" spans="1:5" ht="15">
      <c r="A13" s="18" t="s">
        <v>365</v>
      </c>
      <c r="B13" s="18">
        <v>117.07</v>
      </c>
      <c r="C13" s="36">
        <v>2662.87</v>
      </c>
      <c r="D13" s="64">
        <v>2207.1999999999998</v>
      </c>
      <c r="E13" s="54">
        <f t="shared" si="0"/>
        <v>-455.67000000000007</v>
      </c>
    </row>
    <row r="14" spans="1:5">
      <c r="C14" s="37">
        <f>SUM(C2:C13)</f>
        <v>87545.87999999999</v>
      </c>
      <c r="D14" s="67">
        <f>SUM(D2:D13)</f>
        <v>218132.07</v>
      </c>
      <c r="E14" s="68">
        <f>SUM(E2:E13)</f>
        <v>130586.18999999999</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93"/>
  <sheetViews>
    <sheetView workbookViewId="0">
      <selection activeCell="E91" sqref="E91"/>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32.85546875" bestFit="1" customWidth="1"/>
    <col min="7" max="7" width="22.140625" customWidth="1"/>
    <col min="8" max="8" width="21.140625" customWidth="1"/>
    <col min="9" max="9" width="17.85546875" customWidth="1"/>
  </cols>
  <sheetData>
    <row r="1" spans="1:9">
      <c r="A1" s="19" t="s">
        <v>147</v>
      </c>
      <c r="B1" s="19" t="s">
        <v>148</v>
      </c>
      <c r="C1" s="19" t="s">
        <v>149</v>
      </c>
      <c r="D1" s="19" t="s">
        <v>150</v>
      </c>
      <c r="E1" s="19" t="s">
        <v>151</v>
      </c>
      <c r="F1" s="19" t="s">
        <v>258</v>
      </c>
      <c r="G1" s="38" t="s">
        <v>259</v>
      </c>
      <c r="H1" s="42" t="s">
        <v>262</v>
      </c>
      <c r="I1" s="39" t="s">
        <v>261</v>
      </c>
    </row>
    <row r="2" spans="1:9">
      <c r="A2" s="20" t="s">
        <v>20</v>
      </c>
      <c r="B2" s="20" t="s">
        <v>152</v>
      </c>
      <c r="C2" s="20" t="s">
        <v>15</v>
      </c>
      <c r="D2" s="21">
        <v>3.5</v>
      </c>
      <c r="E2" s="22">
        <v>91.93</v>
      </c>
      <c r="G2" s="13">
        <f>E11+E19+E20+E21+E22+E23+E24+E25+E26+E27+E28+E29+E32+E41+E44+E45+E47+E70+E71</f>
        <v>4525.9100000000008</v>
      </c>
      <c r="H2" s="43">
        <f>E56</f>
        <v>186.38</v>
      </c>
      <c r="I2" s="52">
        <f>E87</f>
        <v>151</v>
      </c>
    </row>
    <row r="3" spans="1:9">
      <c r="A3" s="20" t="s">
        <v>366</v>
      </c>
      <c r="B3" s="23" t="s">
        <v>152</v>
      </c>
      <c r="C3" s="20" t="s">
        <v>15</v>
      </c>
      <c r="D3" s="21">
        <v>0.02</v>
      </c>
      <c r="E3" s="22">
        <v>0.43</v>
      </c>
    </row>
    <row r="4" spans="1:9">
      <c r="A4" s="20" t="s">
        <v>18</v>
      </c>
      <c r="B4" s="20" t="s">
        <v>152</v>
      </c>
      <c r="C4" s="20" t="s">
        <v>15</v>
      </c>
      <c r="D4" s="21">
        <v>1.67</v>
      </c>
      <c r="E4" s="22">
        <v>46.4</v>
      </c>
      <c r="G4" s="305" t="s">
        <v>263</v>
      </c>
      <c r="H4" s="306"/>
      <c r="I4" s="309"/>
    </row>
    <row r="5" spans="1:9">
      <c r="A5" s="20" t="s">
        <v>19</v>
      </c>
      <c r="B5" s="23" t="s">
        <v>152</v>
      </c>
      <c r="C5" s="20" t="s">
        <v>15</v>
      </c>
      <c r="D5" s="21">
        <v>0.82</v>
      </c>
      <c r="E5" s="22">
        <v>25.24</v>
      </c>
    </row>
    <row r="6" spans="1:9">
      <c r="A6" s="19" t="s">
        <v>7</v>
      </c>
      <c r="B6" s="20"/>
      <c r="C6" s="20"/>
      <c r="D6" s="24">
        <f>SUM(D2:D5)</f>
        <v>6.01</v>
      </c>
      <c r="E6" s="25">
        <f>SUM(E2:E5)</f>
        <v>164.00000000000003</v>
      </c>
    </row>
    <row r="7" spans="1:9">
      <c r="A7" s="19"/>
      <c r="B7" s="20"/>
      <c r="C7" s="20"/>
      <c r="D7" s="26"/>
      <c r="E7" s="25"/>
    </row>
    <row r="8" spans="1:9">
      <c r="A8" s="20" t="s">
        <v>195</v>
      </c>
      <c r="B8" s="23" t="s">
        <v>155</v>
      </c>
      <c r="C8" s="20" t="s">
        <v>196</v>
      </c>
      <c r="D8" s="21">
        <v>0.55000000000000004</v>
      </c>
      <c r="E8" s="22">
        <v>16.5</v>
      </c>
    </row>
    <row r="9" spans="1:9">
      <c r="A9" s="19" t="s">
        <v>7</v>
      </c>
      <c r="B9" s="20"/>
      <c r="C9" s="20"/>
      <c r="D9" s="26">
        <f>SUM(D8:D8)</f>
        <v>0.55000000000000004</v>
      </c>
      <c r="E9" s="25">
        <f>SUM(E8:E8)</f>
        <v>16.5</v>
      </c>
    </row>
    <row r="10" spans="1:9">
      <c r="A10" s="19"/>
      <c r="B10" s="20"/>
      <c r="C10" s="20"/>
      <c r="D10" s="26"/>
      <c r="E10" s="25"/>
    </row>
    <row r="11" spans="1:9">
      <c r="A11" s="27" t="s">
        <v>317</v>
      </c>
      <c r="B11" s="28" t="s">
        <v>198</v>
      </c>
      <c r="C11" s="27" t="s">
        <v>199</v>
      </c>
      <c r="D11" s="29">
        <v>16.88</v>
      </c>
      <c r="E11" s="30">
        <v>417.86</v>
      </c>
      <c r="F11" s="31" t="s">
        <v>310</v>
      </c>
    </row>
    <row r="12" spans="1:9">
      <c r="A12" s="19" t="s">
        <v>7</v>
      </c>
      <c r="B12" s="20"/>
      <c r="C12" s="20"/>
      <c r="D12" s="26">
        <v>16.88</v>
      </c>
      <c r="E12" s="25">
        <v>417.86</v>
      </c>
    </row>
    <row r="13" spans="1:9">
      <c r="A13" s="19"/>
      <c r="B13" s="20"/>
      <c r="C13" s="20"/>
      <c r="D13" s="26"/>
      <c r="E13" s="25"/>
    </row>
    <row r="14" spans="1:9">
      <c r="A14" s="20" t="s">
        <v>14</v>
      </c>
      <c r="B14" s="23" t="s">
        <v>156</v>
      </c>
      <c r="C14" s="20" t="s">
        <v>91</v>
      </c>
      <c r="D14" s="21">
        <v>0.8</v>
      </c>
      <c r="E14" s="22">
        <v>21.01</v>
      </c>
    </row>
    <row r="15" spans="1:9">
      <c r="A15" s="20" t="s">
        <v>335</v>
      </c>
      <c r="B15" s="23" t="s">
        <v>156</v>
      </c>
      <c r="C15" s="20" t="s">
        <v>91</v>
      </c>
      <c r="D15" s="21">
        <v>0.56999999999999995</v>
      </c>
      <c r="E15" s="22">
        <v>15.73</v>
      </c>
    </row>
    <row r="16" spans="1:9">
      <c r="A16" s="20" t="s">
        <v>92</v>
      </c>
      <c r="B16" s="23" t="s">
        <v>156</v>
      </c>
      <c r="C16" s="20" t="s">
        <v>91</v>
      </c>
      <c r="D16" s="21">
        <v>1.08</v>
      </c>
      <c r="E16" s="22">
        <v>28.67</v>
      </c>
    </row>
    <row r="17" spans="1:6">
      <c r="A17" s="19" t="s">
        <v>7</v>
      </c>
      <c r="B17" s="20"/>
      <c r="C17" s="20"/>
      <c r="D17" s="26">
        <f>SUM(D14:D16)</f>
        <v>2.4500000000000002</v>
      </c>
      <c r="E17" s="25">
        <f>SUM(E14:E16)</f>
        <v>65.41</v>
      </c>
    </row>
    <row r="18" spans="1:6">
      <c r="A18" s="20"/>
      <c r="B18" s="20"/>
      <c r="C18" s="20"/>
      <c r="D18" s="21"/>
      <c r="E18" s="22"/>
    </row>
    <row r="19" spans="1:6">
      <c r="A19" s="27" t="s">
        <v>336</v>
      </c>
      <c r="B19" s="28" t="s">
        <v>157</v>
      </c>
      <c r="C19" s="27" t="s">
        <v>66</v>
      </c>
      <c r="D19" s="29">
        <v>20.63</v>
      </c>
      <c r="E19" s="30">
        <v>402.35</v>
      </c>
      <c r="F19" s="31" t="s">
        <v>310</v>
      </c>
    </row>
    <row r="20" spans="1:6">
      <c r="A20" s="27" t="s">
        <v>290</v>
      </c>
      <c r="B20" s="28" t="s">
        <v>157</v>
      </c>
      <c r="C20" s="27" t="s">
        <v>66</v>
      </c>
      <c r="D20" s="29">
        <v>16.3</v>
      </c>
      <c r="E20" s="30">
        <v>317.85000000000002</v>
      </c>
      <c r="F20" s="31" t="s">
        <v>310</v>
      </c>
    </row>
    <row r="21" spans="1:6">
      <c r="A21" s="27" t="s">
        <v>228</v>
      </c>
      <c r="B21" s="28" t="s">
        <v>157</v>
      </c>
      <c r="C21" s="27" t="s">
        <v>66</v>
      </c>
      <c r="D21" s="29">
        <v>9.07</v>
      </c>
      <c r="E21" s="30">
        <v>176.8</v>
      </c>
      <c r="F21" s="31" t="s">
        <v>310</v>
      </c>
    </row>
    <row r="22" spans="1:6">
      <c r="A22" s="27" t="s">
        <v>210</v>
      </c>
      <c r="B22" s="28" t="s">
        <v>157</v>
      </c>
      <c r="C22" s="27" t="s">
        <v>66</v>
      </c>
      <c r="D22" s="27">
        <v>10.32</v>
      </c>
      <c r="E22" s="30">
        <v>216.65</v>
      </c>
      <c r="F22" s="31" t="s">
        <v>310</v>
      </c>
    </row>
    <row r="23" spans="1:6">
      <c r="A23" s="27" t="s">
        <v>86</v>
      </c>
      <c r="B23" s="28" t="s">
        <v>157</v>
      </c>
      <c r="C23" s="27" t="s">
        <v>66</v>
      </c>
      <c r="D23" s="27">
        <v>4.13</v>
      </c>
      <c r="E23" s="30">
        <v>89.9</v>
      </c>
      <c r="F23" s="31" t="s">
        <v>310</v>
      </c>
    </row>
    <row r="24" spans="1:6">
      <c r="A24" s="27" t="s">
        <v>292</v>
      </c>
      <c r="B24" s="28" t="s">
        <v>157</v>
      </c>
      <c r="C24" s="27" t="s">
        <v>66</v>
      </c>
      <c r="D24" s="27">
        <v>11.6</v>
      </c>
      <c r="E24" s="30">
        <v>226.2</v>
      </c>
      <c r="F24" s="31" t="s">
        <v>310</v>
      </c>
    </row>
    <row r="25" spans="1:6">
      <c r="A25" s="27" t="s">
        <v>85</v>
      </c>
      <c r="B25" s="28" t="s">
        <v>157</v>
      </c>
      <c r="C25" s="27" t="s">
        <v>66</v>
      </c>
      <c r="D25" s="27">
        <v>18.350000000000001</v>
      </c>
      <c r="E25" s="30">
        <v>439.3</v>
      </c>
      <c r="F25" s="31" t="s">
        <v>310</v>
      </c>
    </row>
    <row r="26" spans="1:6">
      <c r="A26" s="27" t="s">
        <v>159</v>
      </c>
      <c r="B26" s="28" t="s">
        <v>157</v>
      </c>
      <c r="C26" s="27" t="s">
        <v>66</v>
      </c>
      <c r="D26" s="91">
        <v>14.9</v>
      </c>
      <c r="E26" s="30">
        <v>290.55</v>
      </c>
      <c r="F26" s="31" t="s">
        <v>310</v>
      </c>
    </row>
    <row r="27" spans="1:6">
      <c r="A27" s="27" t="s">
        <v>88</v>
      </c>
      <c r="B27" s="28" t="s">
        <v>157</v>
      </c>
      <c r="C27" s="27" t="s">
        <v>66</v>
      </c>
      <c r="D27" s="91">
        <v>4</v>
      </c>
      <c r="E27" s="30">
        <v>84</v>
      </c>
      <c r="F27" s="31" t="s">
        <v>310</v>
      </c>
    </row>
    <row r="28" spans="1:6">
      <c r="A28" s="27" t="s">
        <v>328</v>
      </c>
      <c r="B28" s="28" t="s">
        <v>157</v>
      </c>
      <c r="C28" s="27" t="s">
        <v>66</v>
      </c>
      <c r="D28" s="27">
        <v>5.2</v>
      </c>
      <c r="E28" s="30">
        <v>117</v>
      </c>
      <c r="F28" s="31" t="s">
        <v>310</v>
      </c>
    </row>
    <row r="29" spans="1:6">
      <c r="A29" s="27" t="s">
        <v>79</v>
      </c>
      <c r="B29" s="28" t="s">
        <v>157</v>
      </c>
      <c r="C29" s="27" t="s">
        <v>66</v>
      </c>
      <c r="D29" s="27">
        <v>4.8499999999999996</v>
      </c>
      <c r="E29" s="30">
        <v>112.76</v>
      </c>
      <c r="F29" s="31" t="s">
        <v>310</v>
      </c>
    </row>
    <row r="30" spans="1:6">
      <c r="A30" s="19" t="s">
        <v>7</v>
      </c>
      <c r="B30" s="20"/>
      <c r="C30" s="20"/>
      <c r="D30" s="26">
        <f>SUM(D19:D29)</f>
        <v>119.35000000000001</v>
      </c>
      <c r="E30" s="25">
        <f>SUM(E19:E29)</f>
        <v>2473.3600000000006</v>
      </c>
    </row>
    <row r="31" spans="1:6">
      <c r="A31" s="19"/>
      <c r="B31" s="20"/>
      <c r="C31" s="20"/>
      <c r="D31" s="26"/>
      <c r="E31" s="25"/>
    </row>
    <row r="32" spans="1:6">
      <c r="A32" s="27" t="s">
        <v>163</v>
      </c>
      <c r="B32" s="28" t="s">
        <v>162</v>
      </c>
      <c r="C32" s="27" t="s">
        <v>51</v>
      </c>
      <c r="D32" s="29">
        <v>8.58</v>
      </c>
      <c r="E32" s="30">
        <v>206</v>
      </c>
      <c r="F32" s="31" t="s">
        <v>310</v>
      </c>
    </row>
    <row r="33" spans="1:6">
      <c r="A33" s="20" t="s">
        <v>50</v>
      </c>
      <c r="B33" s="23" t="s">
        <v>162</v>
      </c>
      <c r="C33" s="20" t="s">
        <v>51</v>
      </c>
      <c r="D33" s="21">
        <v>0.2</v>
      </c>
      <c r="E33" s="22">
        <v>3.45</v>
      </c>
    </row>
    <row r="34" spans="1:6">
      <c r="A34" s="19" t="s">
        <v>7</v>
      </c>
      <c r="B34" s="20"/>
      <c r="C34" s="20"/>
      <c r="D34" s="26">
        <f>SUM(D32:D33)</f>
        <v>8.7799999999999994</v>
      </c>
      <c r="E34" s="25">
        <f>SUM(E32:E33)</f>
        <v>209.45</v>
      </c>
    </row>
    <row r="35" spans="1:6">
      <c r="A35" s="19"/>
      <c r="B35" s="20"/>
      <c r="C35" s="20"/>
      <c r="D35" s="26"/>
      <c r="E35" s="25"/>
    </row>
    <row r="36" spans="1:6">
      <c r="A36" s="20" t="s">
        <v>84</v>
      </c>
      <c r="B36" s="23" t="s">
        <v>164</v>
      </c>
      <c r="C36" s="20" t="s">
        <v>60</v>
      </c>
      <c r="D36" s="21">
        <v>0.15</v>
      </c>
      <c r="E36" s="22">
        <v>3.15</v>
      </c>
    </row>
    <row r="37" spans="1:6">
      <c r="A37" s="20" t="s">
        <v>64</v>
      </c>
      <c r="B37" s="23" t="s">
        <v>164</v>
      </c>
      <c r="C37" s="20" t="s">
        <v>60</v>
      </c>
      <c r="D37" s="21">
        <v>1.38</v>
      </c>
      <c r="E37" s="22">
        <v>24.9</v>
      </c>
    </row>
    <row r="38" spans="1:6">
      <c r="A38" s="20" t="s">
        <v>329</v>
      </c>
      <c r="B38" s="23" t="s">
        <v>164</v>
      </c>
      <c r="C38" s="20" t="s">
        <v>60</v>
      </c>
      <c r="D38" s="21">
        <v>0.93</v>
      </c>
      <c r="E38" s="22">
        <v>25.2</v>
      </c>
    </row>
    <row r="39" spans="1:6">
      <c r="A39" s="19" t="s">
        <v>7</v>
      </c>
      <c r="B39" s="20"/>
      <c r="C39" s="20"/>
      <c r="D39" s="26">
        <f>SUM(D36:D38)</f>
        <v>2.46</v>
      </c>
      <c r="E39" s="25">
        <f>SUM(E36:E38)</f>
        <v>53.25</v>
      </c>
    </row>
    <row r="40" spans="1:6">
      <c r="A40" s="19"/>
      <c r="B40" s="20"/>
      <c r="C40" s="20"/>
      <c r="D40" s="26"/>
      <c r="E40" s="25"/>
    </row>
    <row r="41" spans="1:6">
      <c r="A41" s="27" t="s">
        <v>339</v>
      </c>
      <c r="B41" s="28" t="s">
        <v>165</v>
      </c>
      <c r="C41" s="27" t="s">
        <v>45</v>
      </c>
      <c r="D41" s="29">
        <v>17.899999999999999</v>
      </c>
      <c r="E41" s="30">
        <v>349.05</v>
      </c>
      <c r="F41" s="31" t="s">
        <v>310</v>
      </c>
    </row>
    <row r="42" spans="1:6">
      <c r="A42" s="19" t="s">
        <v>7</v>
      </c>
      <c r="B42" s="20"/>
      <c r="C42" s="20"/>
      <c r="D42" s="26">
        <v>17.899999999999999</v>
      </c>
      <c r="E42" s="25">
        <v>349.05</v>
      </c>
    </row>
    <row r="43" spans="1:6">
      <c r="A43" s="19"/>
      <c r="B43" s="20"/>
      <c r="C43" s="20"/>
      <c r="D43" s="26"/>
      <c r="E43" s="25"/>
    </row>
    <row r="44" spans="1:6">
      <c r="A44" s="27" t="s">
        <v>166</v>
      </c>
      <c r="B44" s="28" t="s">
        <v>167</v>
      </c>
      <c r="C44" s="27" t="s">
        <v>54</v>
      </c>
      <c r="D44" s="29">
        <v>11.87</v>
      </c>
      <c r="E44" s="30">
        <v>267</v>
      </c>
      <c r="F44" s="31" t="s">
        <v>310</v>
      </c>
    </row>
    <row r="45" spans="1:6">
      <c r="A45" s="27" t="s">
        <v>253</v>
      </c>
      <c r="B45" s="28" t="s">
        <v>167</v>
      </c>
      <c r="C45" s="27" t="s">
        <v>54</v>
      </c>
      <c r="D45" s="29">
        <v>17.37</v>
      </c>
      <c r="E45" s="30">
        <v>364.7</v>
      </c>
      <c r="F45" s="31" t="s">
        <v>310</v>
      </c>
    </row>
    <row r="46" spans="1:6">
      <c r="A46" s="20" t="s">
        <v>254</v>
      </c>
      <c r="B46" s="23" t="s">
        <v>167</v>
      </c>
      <c r="C46" s="20" t="s">
        <v>54</v>
      </c>
      <c r="D46" s="21">
        <v>1.95</v>
      </c>
      <c r="E46" s="22">
        <v>40.950000000000003</v>
      </c>
    </row>
    <row r="47" spans="1:6">
      <c r="A47" s="27" t="s">
        <v>270</v>
      </c>
      <c r="B47" s="28" t="s">
        <v>167</v>
      </c>
      <c r="C47" s="27" t="s">
        <v>54</v>
      </c>
      <c r="D47" s="29">
        <v>6.78</v>
      </c>
      <c r="E47" s="30">
        <v>183.15</v>
      </c>
      <c r="F47" s="31" t="s">
        <v>310</v>
      </c>
    </row>
    <row r="48" spans="1:6">
      <c r="A48" s="19" t="s">
        <v>7</v>
      </c>
      <c r="B48" s="23"/>
      <c r="C48" s="20"/>
      <c r="D48" s="26">
        <f>SUM(D44:D47)</f>
        <v>37.97</v>
      </c>
      <c r="E48" s="25">
        <f>SUM(E44:E47)</f>
        <v>855.80000000000007</v>
      </c>
    </row>
    <row r="49" spans="1:5">
      <c r="A49" s="19"/>
      <c r="B49" s="23"/>
      <c r="C49" s="20"/>
      <c r="D49" s="26"/>
      <c r="E49" s="25"/>
    </row>
    <row r="50" spans="1:5">
      <c r="A50" s="20" t="s">
        <v>330</v>
      </c>
      <c r="B50" s="23" t="s">
        <v>240</v>
      </c>
      <c r="C50" s="20" t="s">
        <v>241</v>
      </c>
      <c r="D50" s="21">
        <v>0.17</v>
      </c>
      <c r="E50" s="22">
        <v>5</v>
      </c>
    </row>
    <row r="51" spans="1:5">
      <c r="A51" s="19" t="s">
        <v>7</v>
      </c>
      <c r="B51" s="23"/>
      <c r="C51" s="20"/>
      <c r="D51" s="26">
        <v>0.17</v>
      </c>
      <c r="E51" s="25">
        <v>5</v>
      </c>
    </row>
    <row r="52" spans="1:5">
      <c r="A52" s="19"/>
      <c r="B52" s="23"/>
      <c r="C52" s="20"/>
      <c r="D52" s="26"/>
      <c r="E52" s="25"/>
    </row>
    <row r="53" spans="1:5">
      <c r="A53" s="20" t="s">
        <v>312</v>
      </c>
      <c r="B53" s="23" t="s">
        <v>171</v>
      </c>
      <c r="C53" s="20" t="s">
        <v>25</v>
      </c>
      <c r="D53" s="21">
        <v>0.12</v>
      </c>
      <c r="E53" s="22">
        <v>2.98</v>
      </c>
    </row>
    <row r="54" spans="1:5">
      <c r="A54" s="20" t="s">
        <v>367</v>
      </c>
      <c r="B54" s="23" t="s">
        <v>171</v>
      </c>
      <c r="C54" s="20" t="s">
        <v>25</v>
      </c>
      <c r="D54" s="21">
        <v>0.13</v>
      </c>
      <c r="E54" s="22">
        <v>3.4</v>
      </c>
    </row>
    <row r="55" spans="1:5">
      <c r="A55" s="20" t="s">
        <v>286</v>
      </c>
      <c r="B55" s="20" t="s">
        <v>171</v>
      </c>
      <c r="C55" s="20" t="s">
        <v>25</v>
      </c>
      <c r="D55" s="21">
        <v>2.77</v>
      </c>
      <c r="E55" s="22">
        <v>70.55</v>
      </c>
    </row>
    <row r="56" spans="1:5">
      <c r="A56" s="99" t="s">
        <v>306</v>
      </c>
      <c r="B56" s="100" t="s">
        <v>171</v>
      </c>
      <c r="C56" s="99" t="s">
        <v>25</v>
      </c>
      <c r="D56" s="101">
        <v>7.1</v>
      </c>
      <c r="E56" s="102">
        <v>186.38</v>
      </c>
    </row>
    <row r="57" spans="1:5">
      <c r="A57" s="20" t="s">
        <v>368</v>
      </c>
      <c r="B57" s="23" t="s">
        <v>171</v>
      </c>
      <c r="C57" s="20" t="s">
        <v>25</v>
      </c>
      <c r="D57" s="21">
        <v>1.33</v>
      </c>
      <c r="E57" s="22">
        <v>34</v>
      </c>
    </row>
    <row r="58" spans="1:5">
      <c r="A58" s="19" t="s">
        <v>7</v>
      </c>
      <c r="B58" s="20"/>
      <c r="C58" s="20"/>
      <c r="D58" s="26">
        <f>SUM(D53:D57)</f>
        <v>11.45</v>
      </c>
      <c r="E58" s="25">
        <f>SUM(E53:E57)</f>
        <v>297.31</v>
      </c>
    </row>
    <row r="59" spans="1:5">
      <c r="A59" s="19"/>
      <c r="B59" s="20"/>
      <c r="C59" s="20"/>
      <c r="D59" s="26"/>
      <c r="E59" s="25"/>
    </row>
    <row r="60" spans="1:5">
      <c r="A60" s="20" t="s">
        <v>347</v>
      </c>
      <c r="B60" s="23" t="s">
        <v>172</v>
      </c>
      <c r="C60" s="20" t="s">
        <v>348</v>
      </c>
      <c r="D60" s="21">
        <v>0.08</v>
      </c>
      <c r="E60" s="22">
        <v>2.25</v>
      </c>
    </row>
    <row r="61" spans="1:5">
      <c r="A61" s="20" t="s">
        <v>13</v>
      </c>
      <c r="B61" s="23" t="s">
        <v>172</v>
      </c>
      <c r="C61" s="20" t="s">
        <v>348</v>
      </c>
      <c r="D61" s="21">
        <v>3.32</v>
      </c>
      <c r="E61" s="22">
        <v>123.18</v>
      </c>
    </row>
    <row r="62" spans="1:5">
      <c r="A62" s="19" t="s">
        <v>7</v>
      </c>
      <c r="B62" s="20"/>
      <c r="C62" s="20"/>
      <c r="D62" s="26">
        <f>SUM(D60:D61)</f>
        <v>3.4</v>
      </c>
      <c r="E62" s="25">
        <f>SUM(E60:E61)</f>
        <v>125.43</v>
      </c>
    </row>
    <row r="63" spans="1:5">
      <c r="A63" s="20"/>
      <c r="B63" s="20"/>
      <c r="C63" s="20"/>
      <c r="D63" s="21"/>
      <c r="E63" s="22"/>
    </row>
    <row r="64" spans="1:5">
      <c r="A64" s="20" t="s">
        <v>307</v>
      </c>
      <c r="B64" s="20">
        <v>100035</v>
      </c>
      <c r="C64" s="20" t="s">
        <v>332</v>
      </c>
      <c r="D64" s="21">
        <v>2.4500000000000002</v>
      </c>
      <c r="E64" s="22">
        <f>36.06*D64</f>
        <v>88.347000000000008</v>
      </c>
    </row>
    <row r="65" spans="1:6">
      <c r="A65" s="20" t="s">
        <v>331</v>
      </c>
      <c r="B65" s="20">
        <v>100035</v>
      </c>
      <c r="C65" s="20" t="s">
        <v>332</v>
      </c>
      <c r="D65" s="21">
        <v>0.52</v>
      </c>
      <c r="E65" s="22">
        <v>15.5</v>
      </c>
    </row>
    <row r="66" spans="1:6">
      <c r="A66" s="19" t="s">
        <v>7</v>
      </c>
      <c r="B66" s="20"/>
      <c r="C66" s="20"/>
      <c r="D66" s="26">
        <f>SUM(D64:D65)</f>
        <v>2.97</v>
      </c>
      <c r="E66" s="25">
        <f>SUM(E64:E65)</f>
        <v>103.84700000000001</v>
      </c>
    </row>
    <row r="67" spans="1:6">
      <c r="A67" s="19"/>
      <c r="B67" s="20"/>
      <c r="C67" s="20"/>
      <c r="D67" s="21"/>
      <c r="E67" s="22"/>
    </row>
    <row r="68" spans="1:6">
      <c r="A68" s="20" t="s">
        <v>274</v>
      </c>
      <c r="B68" s="20">
        <v>100051</v>
      </c>
      <c r="C68" s="20" t="s">
        <v>34</v>
      </c>
      <c r="D68" s="21">
        <v>0.48</v>
      </c>
      <c r="E68" s="22">
        <v>10.15</v>
      </c>
    </row>
    <row r="69" spans="1:6">
      <c r="A69" s="20" t="s">
        <v>341</v>
      </c>
      <c r="B69" s="20">
        <v>100051</v>
      </c>
      <c r="C69" s="20" t="s">
        <v>34</v>
      </c>
      <c r="D69" s="21">
        <v>0.83</v>
      </c>
      <c r="E69" s="22">
        <v>16.25</v>
      </c>
    </row>
    <row r="70" spans="1:6">
      <c r="A70" s="27" t="s">
        <v>39</v>
      </c>
      <c r="B70" s="27">
        <v>100051</v>
      </c>
      <c r="C70" s="27" t="s">
        <v>34</v>
      </c>
      <c r="D70" s="29">
        <v>5.43</v>
      </c>
      <c r="E70" s="30">
        <v>119.89</v>
      </c>
      <c r="F70" s="31" t="s">
        <v>310</v>
      </c>
    </row>
    <row r="71" spans="1:6">
      <c r="A71" s="27" t="s">
        <v>41</v>
      </c>
      <c r="B71" s="27">
        <v>100051</v>
      </c>
      <c r="C71" s="27" t="s">
        <v>34</v>
      </c>
      <c r="D71" s="29">
        <v>6.13</v>
      </c>
      <c r="E71" s="30">
        <v>144.9</v>
      </c>
      <c r="F71" s="31" t="s">
        <v>310</v>
      </c>
    </row>
    <row r="72" spans="1:6">
      <c r="A72" s="19" t="s">
        <v>7</v>
      </c>
      <c r="B72" s="20"/>
      <c r="C72" s="20"/>
      <c r="D72" s="26">
        <f>SUM(D68:D71)</f>
        <v>12.870000000000001</v>
      </c>
      <c r="E72" s="25">
        <f>SUM(E68:E71)</f>
        <v>291.19</v>
      </c>
    </row>
    <row r="73" spans="1:6">
      <c r="A73" s="19"/>
      <c r="B73" s="20"/>
      <c r="C73" s="20"/>
      <c r="D73" s="26"/>
      <c r="E73" s="25"/>
    </row>
    <row r="74" spans="1:6">
      <c r="A74" s="20" t="s">
        <v>95</v>
      </c>
      <c r="B74" s="20" t="s">
        <v>180</v>
      </c>
      <c r="C74" s="20" t="s">
        <v>96</v>
      </c>
      <c r="D74" s="21">
        <v>1.8</v>
      </c>
      <c r="E74" s="22">
        <v>48.57</v>
      </c>
    </row>
    <row r="75" spans="1:6">
      <c r="A75" s="19" t="s">
        <v>7</v>
      </c>
      <c r="B75" s="20"/>
      <c r="C75" s="20"/>
      <c r="D75" s="26">
        <f>SUM(D74)</f>
        <v>1.8</v>
      </c>
      <c r="E75" s="25">
        <f>SUM(E74)</f>
        <v>48.57</v>
      </c>
    </row>
    <row r="76" spans="1:6">
      <c r="A76" s="20"/>
      <c r="B76" s="20"/>
      <c r="C76" s="20"/>
      <c r="D76" s="21"/>
      <c r="E76" s="22"/>
    </row>
    <row r="77" spans="1:6">
      <c r="A77" s="20" t="s">
        <v>244</v>
      </c>
      <c r="B77" s="20">
        <v>400020</v>
      </c>
      <c r="C77" s="20" t="s">
        <v>98</v>
      </c>
      <c r="D77" s="21">
        <v>0.65</v>
      </c>
      <c r="E77" s="22">
        <v>15.6</v>
      </c>
    </row>
    <row r="78" spans="1:6">
      <c r="A78" s="20" t="s">
        <v>97</v>
      </c>
      <c r="B78" s="20" t="s">
        <v>181</v>
      </c>
      <c r="C78" s="20" t="s">
        <v>98</v>
      </c>
      <c r="D78" s="21">
        <v>1.03</v>
      </c>
      <c r="E78" s="22">
        <v>31.62</v>
      </c>
    </row>
    <row r="79" spans="1:6">
      <c r="A79" s="19" t="s">
        <v>7</v>
      </c>
      <c r="B79" s="20"/>
      <c r="C79" s="20"/>
      <c r="D79" s="26">
        <f>SUM(D77:D78)</f>
        <v>1.6800000000000002</v>
      </c>
      <c r="E79" s="25">
        <f>SUM(E77:E78)</f>
        <v>47.22</v>
      </c>
    </row>
    <row r="80" spans="1:6">
      <c r="A80" s="19"/>
      <c r="B80" s="20"/>
      <c r="C80" s="20"/>
      <c r="D80" s="26"/>
      <c r="E80" s="25"/>
    </row>
    <row r="81" spans="1:6">
      <c r="A81" s="20" t="s">
        <v>100</v>
      </c>
      <c r="B81" s="20">
        <v>400035</v>
      </c>
      <c r="C81" s="20" t="s">
        <v>101</v>
      </c>
      <c r="D81" s="21">
        <v>0.75</v>
      </c>
      <c r="E81" s="22">
        <v>22.5</v>
      </c>
    </row>
    <row r="82" spans="1:6">
      <c r="A82" s="19" t="s">
        <v>7</v>
      </c>
      <c r="B82" s="20"/>
      <c r="C82" s="20"/>
      <c r="D82" s="26">
        <v>0.75</v>
      </c>
      <c r="E82" s="25">
        <v>22.5</v>
      </c>
    </row>
    <row r="83" spans="1:6">
      <c r="A83" s="19"/>
      <c r="B83" s="20"/>
      <c r="C83" s="20"/>
      <c r="D83" s="26"/>
      <c r="E83" s="25"/>
    </row>
    <row r="84" spans="1:6">
      <c r="A84" s="20" t="s">
        <v>369</v>
      </c>
      <c r="B84" s="23" t="s">
        <v>185</v>
      </c>
      <c r="C84" s="20" t="s">
        <v>134</v>
      </c>
      <c r="D84" s="21">
        <v>7.0000000000000007E-2</v>
      </c>
      <c r="E84" s="22">
        <v>1.4</v>
      </c>
    </row>
    <row r="85" spans="1:6">
      <c r="A85" s="19" t="s">
        <v>7</v>
      </c>
      <c r="B85" s="23"/>
      <c r="C85" s="20"/>
      <c r="D85" s="26">
        <v>7.0000000000000007E-2</v>
      </c>
      <c r="E85" s="25">
        <v>1.4</v>
      </c>
    </row>
    <row r="86" spans="1:6">
      <c r="A86" s="19"/>
      <c r="B86" s="23"/>
      <c r="C86" s="20"/>
      <c r="D86" s="26"/>
      <c r="E86" s="25"/>
    </row>
    <row r="87" spans="1:6">
      <c r="A87" s="32" t="s">
        <v>346</v>
      </c>
      <c r="B87" s="103">
        <v>450046</v>
      </c>
      <c r="C87" s="32" t="s">
        <v>128</v>
      </c>
      <c r="D87" s="33">
        <v>5.03</v>
      </c>
      <c r="E87" s="34">
        <v>151</v>
      </c>
      <c r="F87" s="31" t="s">
        <v>370</v>
      </c>
    </row>
    <row r="88" spans="1:6">
      <c r="A88" s="19" t="s">
        <v>7</v>
      </c>
      <c r="B88" s="23"/>
      <c r="C88" s="20"/>
      <c r="D88" s="26">
        <v>5.03</v>
      </c>
      <c r="E88" s="25">
        <v>151</v>
      </c>
    </row>
    <row r="89" spans="1:6">
      <c r="A89" s="19"/>
      <c r="B89" s="20"/>
      <c r="C89" s="20"/>
      <c r="D89" s="26"/>
      <c r="E89" s="25"/>
    </row>
    <row r="90" spans="1:6">
      <c r="A90" s="20"/>
      <c r="B90" s="20"/>
      <c r="C90" s="20"/>
      <c r="D90" s="21"/>
      <c r="E90" s="22"/>
    </row>
    <row r="91" spans="1:6">
      <c r="A91" s="19" t="s">
        <v>194</v>
      </c>
      <c r="B91" s="20"/>
      <c r="C91" s="20"/>
      <c r="D91" s="26">
        <v>252.61</v>
      </c>
      <c r="E91" s="25">
        <v>5611.1</v>
      </c>
    </row>
    <row r="93" spans="1:6">
      <c r="D93" s="107">
        <f>D6+D9+D12+D17+D30+D34+D39+D42+D48+D51+D58+D62+D66+D72+D75+D79+D82+D85+D88</f>
        <v>252.54000000000002</v>
      </c>
      <c r="E93" s="108">
        <f>E6+E9+E12+E17+E30+E34+E39+E42+E48+E51+E58+E62+E66+E72+E75+E79+E82+E85+E88</f>
        <v>5698.1469999999999</v>
      </c>
    </row>
  </sheetData>
  <mergeCells count="1">
    <mergeCell ref="G4:I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91"/>
  <sheetViews>
    <sheetView workbookViewId="0">
      <selection activeCell="D91" sqref="D91"/>
    </sheetView>
  </sheetViews>
  <sheetFormatPr defaultRowHeight="12.75"/>
  <cols>
    <col min="1" max="1" width="17.8554687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26" style="18" customWidth="1"/>
    <col min="7" max="7" width="30.42578125" style="18" customWidth="1"/>
    <col min="8" max="8" width="29" style="18" customWidth="1"/>
    <col min="9" max="16384" width="9.140625" style="18"/>
  </cols>
  <sheetData>
    <row r="1" spans="1:8">
      <c r="A1" s="19" t="s">
        <v>147</v>
      </c>
      <c r="B1" s="19" t="s">
        <v>148</v>
      </c>
      <c r="C1" s="19" t="s">
        <v>149</v>
      </c>
      <c r="D1" s="19" t="s">
        <v>150</v>
      </c>
      <c r="E1" s="19" t="s">
        <v>151</v>
      </c>
      <c r="F1" s="11" t="s">
        <v>258</v>
      </c>
      <c r="G1" s="38" t="s">
        <v>259</v>
      </c>
      <c r="H1" s="40" t="s">
        <v>260</v>
      </c>
    </row>
    <row r="2" spans="1:8">
      <c r="A2" s="20" t="s">
        <v>20</v>
      </c>
      <c r="B2" s="20" t="s">
        <v>152</v>
      </c>
      <c r="C2" s="20" t="s">
        <v>15</v>
      </c>
      <c r="D2" s="21">
        <v>0.83</v>
      </c>
      <c r="E2" s="22">
        <v>24.08</v>
      </c>
      <c r="G2" s="13">
        <f>E25+E30+E35+E43+E48</f>
        <v>863.08</v>
      </c>
      <c r="H2" s="66">
        <f>E65+E66</f>
        <v>436.25599999999997</v>
      </c>
    </row>
    <row r="3" spans="1:8">
      <c r="A3" s="20" t="s">
        <v>18</v>
      </c>
      <c r="B3" s="20" t="s">
        <v>152</v>
      </c>
      <c r="C3" s="20" t="s">
        <v>15</v>
      </c>
      <c r="D3" s="21">
        <v>0.88</v>
      </c>
      <c r="E3" s="22">
        <v>24.59</v>
      </c>
      <c r="G3"/>
      <c r="H3"/>
    </row>
    <row r="4" spans="1:8">
      <c r="A4" s="20" t="s">
        <v>19</v>
      </c>
      <c r="B4" s="23" t="s">
        <v>152</v>
      </c>
      <c r="C4" s="20" t="s">
        <v>15</v>
      </c>
      <c r="D4" s="21">
        <v>0.88</v>
      </c>
      <c r="E4" s="22">
        <v>27.3</v>
      </c>
      <c r="G4" s="305" t="s">
        <v>263</v>
      </c>
      <c r="H4" s="306"/>
    </row>
    <row r="5" spans="1:8">
      <c r="A5" s="19" t="s">
        <v>7</v>
      </c>
      <c r="B5" s="20"/>
      <c r="C5" s="20"/>
      <c r="D5" s="24">
        <f>SUM(D2:D4)</f>
        <v>2.59</v>
      </c>
      <c r="E5" s="25">
        <f>SUM(E2:E4)</f>
        <v>75.97</v>
      </c>
    </row>
    <row r="6" spans="1:8">
      <c r="A6" s="19"/>
      <c r="B6" s="20"/>
      <c r="C6" s="20"/>
      <c r="D6" s="26"/>
      <c r="E6" s="25"/>
    </row>
    <row r="7" spans="1:8">
      <c r="A7" s="20" t="s">
        <v>195</v>
      </c>
      <c r="B7" s="23" t="s">
        <v>155</v>
      </c>
      <c r="C7" s="20" t="s">
        <v>196</v>
      </c>
      <c r="D7" s="21">
        <v>0.45</v>
      </c>
      <c r="E7" s="22">
        <v>13.5</v>
      </c>
    </row>
    <row r="8" spans="1:8">
      <c r="A8" s="19" t="s">
        <v>7</v>
      </c>
      <c r="B8" s="20"/>
      <c r="C8" s="20"/>
      <c r="D8" s="26">
        <f>SUM(D7:D7)</f>
        <v>0.45</v>
      </c>
      <c r="E8" s="25">
        <f>SUM(E7:E7)</f>
        <v>13.5</v>
      </c>
    </row>
    <row r="9" spans="1:8">
      <c r="A9" s="19"/>
      <c r="B9" s="20"/>
      <c r="C9" s="20"/>
      <c r="D9" s="26"/>
      <c r="E9" s="25"/>
    </row>
    <row r="10" spans="1:8">
      <c r="A10" s="20" t="s">
        <v>209</v>
      </c>
      <c r="B10" s="23" t="s">
        <v>154</v>
      </c>
      <c r="C10" s="20" t="s">
        <v>23</v>
      </c>
      <c r="D10" s="21">
        <v>2.85</v>
      </c>
      <c r="E10" s="22">
        <v>78.099999999999994</v>
      </c>
    </row>
    <row r="11" spans="1:8">
      <c r="A11" s="20" t="s">
        <v>22</v>
      </c>
      <c r="B11" s="23" t="s">
        <v>154</v>
      </c>
      <c r="C11" s="20" t="s">
        <v>23</v>
      </c>
      <c r="D11" s="21">
        <v>3.38</v>
      </c>
      <c r="E11" s="22">
        <v>103.02</v>
      </c>
    </row>
    <row r="12" spans="1:8">
      <c r="A12" s="19" t="s">
        <v>7</v>
      </c>
      <c r="B12" s="20"/>
      <c r="C12" s="20"/>
      <c r="D12" s="26">
        <f>SUM(D10:D11)</f>
        <v>6.23</v>
      </c>
      <c r="E12" s="25">
        <f>SUM(E10:E11)</f>
        <v>181.12</v>
      </c>
    </row>
    <row r="13" spans="1:8">
      <c r="A13" s="19"/>
      <c r="B13" s="20"/>
      <c r="C13" s="20"/>
      <c r="D13" s="26"/>
      <c r="E13" s="25"/>
    </row>
    <row r="14" spans="1:8">
      <c r="A14" s="20" t="s">
        <v>317</v>
      </c>
      <c r="B14" s="23" t="s">
        <v>198</v>
      </c>
      <c r="C14" s="20" t="s">
        <v>199</v>
      </c>
      <c r="D14" s="21">
        <v>2.2200000000000002</v>
      </c>
      <c r="E14" s="22">
        <v>54.86</v>
      </c>
    </row>
    <row r="15" spans="1:8">
      <c r="A15" s="19" t="s">
        <v>7</v>
      </c>
      <c r="B15" s="20"/>
      <c r="C15" s="20"/>
      <c r="D15" s="26">
        <f>SUM(D14)</f>
        <v>2.2200000000000002</v>
      </c>
      <c r="E15" s="25">
        <f>SUM(E14)</f>
        <v>54.86</v>
      </c>
    </row>
    <row r="16" spans="1:8">
      <c r="A16" s="19"/>
      <c r="B16" s="20"/>
      <c r="C16" s="20"/>
      <c r="D16" s="26"/>
      <c r="E16" s="25"/>
    </row>
    <row r="17" spans="1:6">
      <c r="A17" s="20" t="s">
        <v>14</v>
      </c>
      <c r="B17" s="23" t="s">
        <v>156</v>
      </c>
      <c r="C17" s="20" t="s">
        <v>91</v>
      </c>
      <c r="D17" s="21">
        <v>1</v>
      </c>
      <c r="E17" s="22">
        <v>26.27</v>
      </c>
    </row>
    <row r="18" spans="1:6">
      <c r="A18" s="20" t="s">
        <v>335</v>
      </c>
      <c r="B18" s="23" t="s">
        <v>156</v>
      </c>
      <c r="C18" s="20" t="s">
        <v>91</v>
      </c>
      <c r="D18" s="21">
        <v>7.0000000000000007E-2</v>
      </c>
      <c r="E18" s="22">
        <v>1.85</v>
      </c>
    </row>
    <row r="19" spans="1:6">
      <c r="A19" s="20" t="s">
        <v>92</v>
      </c>
      <c r="B19" s="23" t="s">
        <v>156</v>
      </c>
      <c r="C19" s="20" t="s">
        <v>91</v>
      </c>
      <c r="D19" s="21">
        <v>0.75</v>
      </c>
      <c r="E19" s="22">
        <v>19.850000000000001</v>
      </c>
    </row>
    <row r="20" spans="1:6">
      <c r="A20" s="19" t="s">
        <v>7</v>
      </c>
      <c r="B20" s="20"/>
      <c r="C20" s="20"/>
      <c r="D20" s="26">
        <f>SUM(D17:D19)</f>
        <v>1.82</v>
      </c>
      <c r="E20" s="25">
        <f>SUM(E17:E19)</f>
        <v>47.97</v>
      </c>
    </row>
    <row r="21" spans="1:6">
      <c r="A21" s="20"/>
      <c r="B21" s="20"/>
      <c r="C21" s="20"/>
      <c r="D21" s="21"/>
      <c r="E21" s="22"/>
    </row>
    <row r="22" spans="1:6">
      <c r="A22" s="20" t="s">
        <v>336</v>
      </c>
      <c r="B22" s="23" t="s">
        <v>157</v>
      </c>
      <c r="C22" s="20" t="s">
        <v>66</v>
      </c>
      <c r="D22" s="21">
        <v>3.33</v>
      </c>
      <c r="E22" s="22">
        <v>65</v>
      </c>
    </row>
    <row r="23" spans="1:6">
      <c r="A23" s="20" t="s">
        <v>266</v>
      </c>
      <c r="B23" s="23" t="s">
        <v>157</v>
      </c>
      <c r="C23" s="20" t="s">
        <v>66</v>
      </c>
      <c r="D23" s="21">
        <v>0.32</v>
      </c>
      <c r="E23" s="22">
        <v>6.18</v>
      </c>
    </row>
    <row r="24" spans="1:6">
      <c r="A24" s="20" t="s">
        <v>290</v>
      </c>
      <c r="B24" s="23" t="s">
        <v>157</v>
      </c>
      <c r="C24" s="20" t="s">
        <v>66</v>
      </c>
      <c r="D24" s="21">
        <v>3.13</v>
      </c>
      <c r="E24" s="22">
        <v>61.1</v>
      </c>
    </row>
    <row r="25" spans="1:6">
      <c r="A25" s="27" t="s">
        <v>228</v>
      </c>
      <c r="B25" s="28" t="s">
        <v>157</v>
      </c>
      <c r="C25" s="27" t="s">
        <v>66</v>
      </c>
      <c r="D25" s="29">
        <v>12.23</v>
      </c>
      <c r="E25" s="30">
        <v>238.55</v>
      </c>
      <c r="F25" s="31" t="s">
        <v>310</v>
      </c>
    </row>
    <row r="26" spans="1:6">
      <c r="A26" s="20" t="s">
        <v>86</v>
      </c>
      <c r="B26" s="23" t="s">
        <v>157</v>
      </c>
      <c r="C26" s="20" t="s">
        <v>66</v>
      </c>
      <c r="D26" s="20">
        <v>0.87</v>
      </c>
      <c r="E26" s="22">
        <v>18.850000000000001</v>
      </c>
    </row>
    <row r="27" spans="1:6">
      <c r="A27" s="20" t="s">
        <v>292</v>
      </c>
      <c r="B27" s="23" t="s">
        <v>157</v>
      </c>
      <c r="C27" s="20" t="s">
        <v>66</v>
      </c>
      <c r="D27" s="20">
        <v>3.75</v>
      </c>
      <c r="E27" s="22">
        <v>73.13</v>
      </c>
    </row>
    <row r="28" spans="1:6">
      <c r="A28" s="20" t="s">
        <v>85</v>
      </c>
      <c r="B28" s="23" t="s">
        <v>157</v>
      </c>
      <c r="C28" s="20" t="s">
        <v>66</v>
      </c>
      <c r="D28" s="20">
        <v>3.12</v>
      </c>
      <c r="E28" s="22">
        <v>74.61</v>
      </c>
    </row>
    <row r="29" spans="1:6">
      <c r="A29" s="20" t="s">
        <v>159</v>
      </c>
      <c r="B29" s="23" t="s">
        <v>157</v>
      </c>
      <c r="C29" s="20" t="s">
        <v>66</v>
      </c>
      <c r="D29" s="55">
        <v>3.33</v>
      </c>
      <c r="E29" s="22">
        <v>65</v>
      </c>
    </row>
    <row r="30" spans="1:6">
      <c r="A30" s="27" t="s">
        <v>88</v>
      </c>
      <c r="B30" s="28" t="s">
        <v>157</v>
      </c>
      <c r="C30" s="27" t="s">
        <v>66</v>
      </c>
      <c r="D30" s="91">
        <v>5.42</v>
      </c>
      <c r="E30" s="30">
        <v>113.75</v>
      </c>
      <c r="F30" s="31" t="s">
        <v>310</v>
      </c>
    </row>
    <row r="31" spans="1:6">
      <c r="A31" s="20" t="s">
        <v>79</v>
      </c>
      <c r="B31" s="23" t="s">
        <v>157</v>
      </c>
      <c r="C31" s="20" t="s">
        <v>66</v>
      </c>
      <c r="D31" s="20">
        <v>2.25</v>
      </c>
      <c r="E31" s="22">
        <v>52.31</v>
      </c>
    </row>
    <row r="32" spans="1:6">
      <c r="A32" s="19" t="s">
        <v>7</v>
      </c>
      <c r="B32" s="20"/>
      <c r="C32" s="20"/>
      <c r="D32" s="26">
        <f>SUM(D22:D31)</f>
        <v>37.75</v>
      </c>
      <c r="E32" s="25">
        <f>SUM(E22:E31)</f>
        <v>768.48</v>
      </c>
    </row>
    <row r="33" spans="1:6">
      <c r="A33" s="19"/>
      <c r="B33" s="20"/>
      <c r="C33" s="20"/>
      <c r="D33" s="26"/>
      <c r="E33" s="25"/>
    </row>
    <row r="34" spans="1:6">
      <c r="A34" s="20" t="s">
        <v>52</v>
      </c>
      <c r="B34" s="23" t="s">
        <v>162</v>
      </c>
      <c r="C34" s="20" t="s">
        <v>51</v>
      </c>
      <c r="D34" s="21">
        <v>2.75</v>
      </c>
      <c r="E34" s="22">
        <v>61.88</v>
      </c>
    </row>
    <row r="35" spans="1:6">
      <c r="A35" s="27" t="s">
        <v>163</v>
      </c>
      <c r="B35" s="28" t="s">
        <v>162</v>
      </c>
      <c r="C35" s="27" t="s">
        <v>51</v>
      </c>
      <c r="D35" s="29">
        <v>13</v>
      </c>
      <c r="E35" s="30">
        <v>312</v>
      </c>
      <c r="F35" s="31" t="s">
        <v>310</v>
      </c>
    </row>
    <row r="36" spans="1:6">
      <c r="A36" s="19" t="s">
        <v>7</v>
      </c>
      <c r="B36" s="20"/>
      <c r="C36" s="20"/>
      <c r="D36" s="26">
        <f>SUM(D34:D35)</f>
        <v>15.75</v>
      </c>
      <c r="E36" s="25">
        <f>SUM(E34:E35)</f>
        <v>373.88</v>
      </c>
    </row>
    <row r="37" spans="1:6">
      <c r="A37" s="19"/>
      <c r="B37" s="20"/>
      <c r="C37" s="20"/>
      <c r="D37" s="26"/>
      <c r="E37" s="25"/>
    </row>
    <row r="38" spans="1:6">
      <c r="A38" s="20" t="s">
        <v>203</v>
      </c>
      <c r="B38" s="23" t="s">
        <v>164</v>
      </c>
      <c r="C38" s="20" t="s">
        <v>60</v>
      </c>
      <c r="D38" s="21">
        <v>0.25</v>
      </c>
      <c r="E38" s="22">
        <v>4.88</v>
      </c>
    </row>
    <row r="39" spans="1:6">
      <c r="A39" s="20" t="s">
        <v>371</v>
      </c>
      <c r="B39" s="23" t="s">
        <v>164</v>
      </c>
      <c r="C39" s="20" t="s">
        <v>60</v>
      </c>
      <c r="D39" s="21">
        <v>1.1299999999999999</v>
      </c>
      <c r="E39" s="22">
        <v>22.1</v>
      </c>
    </row>
    <row r="40" spans="1:6">
      <c r="A40" s="20" t="s">
        <v>329</v>
      </c>
      <c r="B40" s="23" t="s">
        <v>164</v>
      </c>
      <c r="C40" s="20" t="s">
        <v>60</v>
      </c>
      <c r="D40" s="21">
        <v>1.57</v>
      </c>
      <c r="E40" s="22">
        <v>42.3</v>
      </c>
    </row>
    <row r="41" spans="1:6">
      <c r="A41" s="19" t="s">
        <v>7</v>
      </c>
      <c r="B41" s="20"/>
      <c r="C41" s="20"/>
      <c r="D41" s="26">
        <f>SUM(D38:D40)</f>
        <v>2.95</v>
      </c>
      <c r="E41" s="25">
        <f>SUM(E38:E40)</f>
        <v>69.28</v>
      </c>
    </row>
    <row r="42" spans="1:6">
      <c r="A42" s="19"/>
      <c r="B42" s="20"/>
      <c r="C42" s="20"/>
      <c r="D42" s="26"/>
      <c r="E42" s="25"/>
    </row>
    <row r="43" spans="1:6">
      <c r="A43" s="27" t="s">
        <v>339</v>
      </c>
      <c r="B43" s="28" t="s">
        <v>165</v>
      </c>
      <c r="C43" s="27" t="s">
        <v>45</v>
      </c>
      <c r="D43" s="29">
        <v>5.85</v>
      </c>
      <c r="E43" s="30">
        <v>114.08</v>
      </c>
      <c r="F43" s="31" t="s">
        <v>310</v>
      </c>
    </row>
    <row r="44" spans="1:6">
      <c r="A44" s="20" t="s">
        <v>372</v>
      </c>
      <c r="B44" s="23" t="s">
        <v>165</v>
      </c>
      <c r="C44" s="20" t="s">
        <v>45</v>
      </c>
      <c r="D44" s="21">
        <v>0.85</v>
      </c>
      <c r="E44" s="22">
        <v>16.579999999999998</v>
      </c>
    </row>
    <row r="45" spans="1:6">
      <c r="A45" s="19" t="s">
        <v>7</v>
      </c>
      <c r="B45" s="20"/>
      <c r="C45" s="20"/>
      <c r="D45" s="26">
        <f>SUM(D43:D44)</f>
        <v>6.6999999999999993</v>
      </c>
      <c r="E45" s="25">
        <f>SUM(E43:E44)</f>
        <v>130.66</v>
      </c>
    </row>
    <row r="46" spans="1:6">
      <c r="A46" s="19"/>
      <c r="B46" s="20"/>
      <c r="C46" s="20"/>
      <c r="D46" s="26"/>
      <c r="E46" s="25"/>
    </row>
    <row r="47" spans="1:6">
      <c r="A47" s="20" t="s">
        <v>166</v>
      </c>
      <c r="B47" s="23" t="s">
        <v>167</v>
      </c>
      <c r="C47" s="20" t="s">
        <v>54</v>
      </c>
      <c r="D47" s="21">
        <v>1.03</v>
      </c>
      <c r="E47" s="22">
        <v>23.25</v>
      </c>
    </row>
    <row r="48" spans="1:6">
      <c r="A48" s="27" t="s">
        <v>253</v>
      </c>
      <c r="B48" s="28" t="s">
        <v>167</v>
      </c>
      <c r="C48" s="27" t="s">
        <v>54</v>
      </c>
      <c r="D48" s="29">
        <v>4.03</v>
      </c>
      <c r="E48" s="30">
        <v>84.7</v>
      </c>
      <c r="F48" s="31" t="s">
        <v>310</v>
      </c>
    </row>
    <row r="49" spans="1:5">
      <c r="A49" s="20" t="s">
        <v>254</v>
      </c>
      <c r="B49" s="23" t="s">
        <v>167</v>
      </c>
      <c r="C49" s="20" t="s">
        <v>54</v>
      </c>
      <c r="D49" s="21">
        <v>0.57999999999999996</v>
      </c>
      <c r="E49" s="22">
        <v>12.25</v>
      </c>
    </row>
    <row r="50" spans="1:5">
      <c r="A50" s="20" t="s">
        <v>270</v>
      </c>
      <c r="B50" s="23" t="s">
        <v>167</v>
      </c>
      <c r="C50" s="20" t="s">
        <v>54</v>
      </c>
      <c r="D50" s="21">
        <v>3.52</v>
      </c>
      <c r="E50" s="22">
        <v>94.95</v>
      </c>
    </row>
    <row r="51" spans="1:5">
      <c r="A51" s="19" t="s">
        <v>7</v>
      </c>
      <c r="B51" s="23"/>
      <c r="C51" s="20"/>
      <c r="D51" s="26">
        <f>SUM(D47:D50)</f>
        <v>9.16</v>
      </c>
      <c r="E51" s="25">
        <f>SUM(E47:E50)</f>
        <v>215.15</v>
      </c>
    </row>
    <row r="52" spans="1:5">
      <c r="A52" s="19"/>
      <c r="B52" s="23"/>
      <c r="C52" s="20"/>
      <c r="D52" s="26"/>
      <c r="E52" s="25"/>
    </row>
    <row r="53" spans="1:5">
      <c r="A53" s="20" t="s">
        <v>330</v>
      </c>
      <c r="B53" s="23" t="s">
        <v>240</v>
      </c>
      <c r="C53" s="20" t="s">
        <v>241</v>
      </c>
      <c r="D53" s="21">
        <v>0.17</v>
      </c>
      <c r="E53" s="22">
        <v>5</v>
      </c>
    </row>
    <row r="54" spans="1:5">
      <c r="A54" s="19" t="s">
        <v>7</v>
      </c>
      <c r="B54" s="23"/>
      <c r="C54" s="20"/>
      <c r="D54" s="26">
        <v>0.17</v>
      </c>
      <c r="E54" s="25">
        <v>5</v>
      </c>
    </row>
    <row r="55" spans="1:5">
      <c r="A55" s="19"/>
      <c r="B55" s="23"/>
      <c r="C55" s="20"/>
      <c r="D55" s="26"/>
      <c r="E55" s="25"/>
    </row>
    <row r="56" spans="1:5">
      <c r="A56" s="20" t="s">
        <v>286</v>
      </c>
      <c r="B56" s="20" t="s">
        <v>171</v>
      </c>
      <c r="C56" s="20" t="s">
        <v>25</v>
      </c>
      <c r="D56" s="21">
        <v>2.5</v>
      </c>
      <c r="E56" s="22">
        <v>63.75</v>
      </c>
    </row>
    <row r="57" spans="1:5">
      <c r="A57" s="20" t="s">
        <v>306</v>
      </c>
      <c r="B57" s="23" t="s">
        <v>171</v>
      </c>
      <c r="C57" s="20" t="s">
        <v>25</v>
      </c>
      <c r="D57" s="21">
        <v>3.27</v>
      </c>
      <c r="E57" s="22">
        <v>85.75</v>
      </c>
    </row>
    <row r="58" spans="1:5">
      <c r="A58" s="20" t="s">
        <v>368</v>
      </c>
      <c r="B58" s="23" t="s">
        <v>171</v>
      </c>
      <c r="C58" s="20" t="s">
        <v>25</v>
      </c>
      <c r="D58" s="21">
        <v>1.68</v>
      </c>
      <c r="E58" s="22">
        <v>42.93</v>
      </c>
    </row>
    <row r="59" spans="1:5">
      <c r="A59" s="19" t="s">
        <v>7</v>
      </c>
      <c r="B59" s="20"/>
      <c r="C59" s="20"/>
      <c r="D59" s="26">
        <f>SUM(D56:D58)</f>
        <v>7.4499999999999993</v>
      </c>
      <c r="E59" s="25">
        <f>SUM(E56:E58)</f>
        <v>192.43</v>
      </c>
    </row>
    <row r="60" spans="1:5">
      <c r="A60" s="19"/>
      <c r="B60" s="20"/>
      <c r="C60" s="20"/>
      <c r="D60" s="26"/>
      <c r="E60" s="25"/>
    </row>
    <row r="61" spans="1:5">
      <c r="A61" s="20" t="s">
        <v>347</v>
      </c>
      <c r="B61" s="23" t="s">
        <v>172</v>
      </c>
      <c r="C61" s="20" t="s">
        <v>348</v>
      </c>
      <c r="D61" s="21">
        <v>0.13</v>
      </c>
      <c r="E61" s="22">
        <v>3.6</v>
      </c>
    </row>
    <row r="62" spans="1:5">
      <c r="A62" s="20" t="s">
        <v>13</v>
      </c>
      <c r="B62" s="23" t="s">
        <v>172</v>
      </c>
      <c r="C62" s="20" t="s">
        <v>348</v>
      </c>
      <c r="D62" s="21">
        <v>0.7</v>
      </c>
      <c r="E62" s="22">
        <v>26</v>
      </c>
    </row>
    <row r="63" spans="1:5">
      <c r="A63" s="19" t="s">
        <v>7</v>
      </c>
      <c r="B63" s="20"/>
      <c r="C63" s="20"/>
      <c r="D63" s="26">
        <f>SUM(D61:D62)</f>
        <v>0.83</v>
      </c>
      <c r="E63" s="25">
        <f>SUM(E61:E62)</f>
        <v>29.6</v>
      </c>
    </row>
    <row r="64" spans="1:5">
      <c r="A64" s="20"/>
      <c r="B64" s="20"/>
      <c r="C64" s="20"/>
      <c r="D64" s="21"/>
      <c r="E64" s="22"/>
    </row>
    <row r="65" spans="1:6">
      <c r="A65" s="47" t="s">
        <v>307</v>
      </c>
      <c r="B65" s="47">
        <v>100035</v>
      </c>
      <c r="C65" s="47" t="s">
        <v>332</v>
      </c>
      <c r="D65" s="49">
        <v>4.5999999999999996</v>
      </c>
      <c r="E65" s="50">
        <f>36.36*4.6</f>
        <v>167.25599999999997</v>
      </c>
      <c r="F65" s="31" t="s">
        <v>310</v>
      </c>
    </row>
    <row r="66" spans="1:6">
      <c r="A66" s="47" t="s">
        <v>331</v>
      </c>
      <c r="B66" s="47">
        <v>100035</v>
      </c>
      <c r="C66" s="47" t="s">
        <v>332</v>
      </c>
      <c r="D66" s="49">
        <v>8.9700000000000006</v>
      </c>
      <c r="E66" s="50">
        <v>269</v>
      </c>
      <c r="F66" s="31" t="s">
        <v>310</v>
      </c>
    </row>
    <row r="67" spans="1:6">
      <c r="A67" s="19" t="s">
        <v>7</v>
      </c>
      <c r="B67" s="20"/>
      <c r="C67" s="20"/>
      <c r="D67" s="26">
        <f>SUM(D65:D66)</f>
        <v>13.57</v>
      </c>
      <c r="E67" s="25">
        <f>SUM(E65:E66)</f>
        <v>436.25599999999997</v>
      </c>
    </row>
    <row r="68" spans="1:6">
      <c r="A68" s="19"/>
      <c r="B68" s="20"/>
      <c r="C68" s="20"/>
      <c r="D68" s="21"/>
      <c r="E68" s="22"/>
    </row>
    <row r="69" spans="1:6">
      <c r="A69" s="20" t="s">
        <v>274</v>
      </c>
      <c r="B69" s="20">
        <v>100051</v>
      </c>
      <c r="C69" s="20" t="s">
        <v>34</v>
      </c>
      <c r="D69" s="21">
        <v>0.05</v>
      </c>
      <c r="E69" s="22">
        <v>1.05</v>
      </c>
    </row>
    <row r="70" spans="1:6">
      <c r="A70" s="20" t="s">
        <v>39</v>
      </c>
      <c r="B70" s="20">
        <v>100051</v>
      </c>
      <c r="C70" s="20" t="s">
        <v>34</v>
      </c>
      <c r="D70" s="21">
        <v>1</v>
      </c>
      <c r="E70" s="22">
        <v>22.07</v>
      </c>
    </row>
    <row r="71" spans="1:6">
      <c r="A71" s="20" t="s">
        <v>41</v>
      </c>
      <c r="B71" s="20">
        <v>100051</v>
      </c>
      <c r="C71" s="20" t="s">
        <v>34</v>
      </c>
      <c r="D71" s="21">
        <v>1</v>
      </c>
      <c r="E71" s="22">
        <v>26.63</v>
      </c>
    </row>
    <row r="72" spans="1:6">
      <c r="A72" s="19" t="s">
        <v>7</v>
      </c>
      <c r="B72" s="20"/>
      <c r="C72" s="20"/>
      <c r="D72" s="26">
        <f>SUM(D69:D71)</f>
        <v>2.0499999999999998</v>
      </c>
      <c r="E72" s="25">
        <f>SUM(E69:E71)</f>
        <v>49.75</v>
      </c>
    </row>
    <row r="73" spans="1:6">
      <c r="A73" s="19"/>
      <c r="B73" s="20"/>
      <c r="C73" s="20"/>
      <c r="D73" s="26"/>
      <c r="E73" s="25"/>
    </row>
    <row r="74" spans="1:6">
      <c r="A74" s="20" t="s">
        <v>16</v>
      </c>
      <c r="B74" s="20">
        <v>290020</v>
      </c>
      <c r="C74" s="20" t="s">
        <v>373</v>
      </c>
      <c r="D74" s="21">
        <v>1.82</v>
      </c>
      <c r="E74" s="22">
        <v>49.79</v>
      </c>
    </row>
    <row r="75" spans="1:6">
      <c r="A75" s="19"/>
      <c r="B75" s="20"/>
      <c r="C75" s="20"/>
      <c r="D75" s="26">
        <f>SUM(D74)</f>
        <v>1.82</v>
      </c>
      <c r="E75" s="25">
        <f>SUM(E74)</f>
        <v>49.79</v>
      </c>
    </row>
    <row r="76" spans="1:6">
      <c r="A76" s="19"/>
      <c r="B76" s="20"/>
      <c r="C76" s="20"/>
      <c r="D76" s="26"/>
      <c r="E76" s="25"/>
    </row>
    <row r="77" spans="1:6">
      <c r="A77" s="20" t="s">
        <v>95</v>
      </c>
      <c r="B77" s="20" t="s">
        <v>180</v>
      </c>
      <c r="C77" s="20" t="s">
        <v>96</v>
      </c>
      <c r="D77" s="21">
        <v>3.5</v>
      </c>
      <c r="E77" s="22">
        <v>94.45</v>
      </c>
    </row>
    <row r="78" spans="1:6">
      <c r="A78" s="19" t="s">
        <v>7</v>
      </c>
      <c r="B78" s="20"/>
      <c r="C78" s="20"/>
      <c r="D78" s="26">
        <f>SUM(D77)</f>
        <v>3.5</v>
      </c>
      <c r="E78" s="25">
        <f>SUM(E77)</f>
        <v>94.45</v>
      </c>
    </row>
    <row r="79" spans="1:6">
      <c r="A79" s="20"/>
      <c r="B79" s="20"/>
      <c r="C79" s="20"/>
      <c r="D79" s="21"/>
      <c r="E79" s="22"/>
    </row>
    <row r="80" spans="1:6">
      <c r="A80" s="20" t="s">
        <v>244</v>
      </c>
      <c r="B80" s="20">
        <v>400020</v>
      </c>
      <c r="C80" s="20" t="s">
        <v>98</v>
      </c>
      <c r="D80" s="21">
        <v>1.25</v>
      </c>
      <c r="E80" s="22">
        <v>30</v>
      </c>
    </row>
    <row r="81" spans="1:5">
      <c r="A81" s="20" t="s">
        <v>97</v>
      </c>
      <c r="B81" s="20" t="s">
        <v>181</v>
      </c>
      <c r="C81" s="20" t="s">
        <v>98</v>
      </c>
      <c r="D81" s="21">
        <v>3</v>
      </c>
      <c r="E81" s="22">
        <v>91.8</v>
      </c>
    </row>
    <row r="82" spans="1:5">
      <c r="A82" s="19" t="s">
        <v>7</v>
      </c>
      <c r="B82" s="20"/>
      <c r="C82" s="20"/>
      <c r="D82" s="26">
        <f>SUM(D80:D81)</f>
        <v>4.25</v>
      </c>
      <c r="E82" s="25">
        <f>SUM(E80:E81)</f>
        <v>121.8</v>
      </c>
    </row>
    <row r="83" spans="1:5">
      <c r="A83" s="19"/>
      <c r="B83" s="20"/>
      <c r="C83" s="20"/>
      <c r="D83" s="26"/>
      <c r="E83" s="25"/>
    </row>
    <row r="84" spans="1:5">
      <c r="A84" s="20" t="s">
        <v>346</v>
      </c>
      <c r="B84" s="23">
        <v>450046</v>
      </c>
      <c r="C84" s="20" t="s">
        <v>128</v>
      </c>
      <c r="D84" s="21">
        <v>0.53</v>
      </c>
      <c r="E84" s="22">
        <v>16</v>
      </c>
    </row>
    <row r="85" spans="1:5">
      <c r="A85" s="19" t="s">
        <v>7</v>
      </c>
      <c r="B85" s="23"/>
      <c r="C85" s="20"/>
      <c r="D85" s="26">
        <f>SUM(D84)</f>
        <v>0.53</v>
      </c>
      <c r="E85" s="25">
        <f>SUM(E84)</f>
        <v>16</v>
      </c>
    </row>
    <row r="86" spans="1:5">
      <c r="A86" s="19"/>
      <c r="B86" s="20"/>
      <c r="C86" s="20"/>
      <c r="D86" s="26"/>
      <c r="E86" s="25"/>
    </row>
    <row r="87" spans="1:5">
      <c r="A87" s="20"/>
      <c r="B87" s="20"/>
      <c r="C87" s="20"/>
      <c r="D87" s="21"/>
      <c r="E87" s="22"/>
    </row>
    <row r="88" spans="1:5">
      <c r="A88" s="19" t="s">
        <v>194</v>
      </c>
      <c r="B88" s="20"/>
      <c r="C88" s="20"/>
      <c r="D88" s="26">
        <v>120.08</v>
      </c>
      <c r="E88" s="25">
        <v>2760.84</v>
      </c>
    </row>
    <row r="89" spans="1:5">
      <c r="A89" s="20"/>
      <c r="B89" s="20"/>
      <c r="C89" s="20"/>
      <c r="D89" s="21"/>
      <c r="E89" s="22"/>
    </row>
    <row r="90" spans="1:5">
      <c r="A90" s="19"/>
      <c r="B90" s="20"/>
      <c r="C90" s="20"/>
      <c r="D90" s="26"/>
      <c r="E90" s="25"/>
    </row>
    <row r="91" spans="1:5">
      <c r="D91" s="107">
        <f>D5+D8+D12+D15+D20+D32+D36+D41+D45+D51+D54+D59+D63+D67+D72+D75+D78+D82+D85</f>
        <v>119.79</v>
      </c>
      <c r="E91" s="108">
        <f>E5+E8+E12+E15+E20+E32+E36+E41+E45+E51+E54+E59+E63+E67+E72+E75+E78+E82+E85</f>
        <v>2925.9459999999999</v>
      </c>
    </row>
  </sheetData>
  <mergeCells count="1">
    <mergeCell ref="G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80"/>
  <sheetViews>
    <sheetView workbookViewId="0">
      <selection activeCell="E81" sqref="E81"/>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13.85546875" style="18" bestFit="1" customWidth="1"/>
    <col min="7" max="7" width="27" style="18" customWidth="1"/>
    <col min="8" max="8" width="30.5703125" style="18" customWidth="1"/>
    <col min="9" max="16384" width="9.140625" style="18"/>
  </cols>
  <sheetData>
    <row r="1" spans="1:8">
      <c r="A1" s="19" t="s">
        <v>147</v>
      </c>
      <c r="B1" s="19" t="s">
        <v>148</v>
      </c>
      <c r="C1" s="19" t="s">
        <v>149</v>
      </c>
      <c r="D1" s="19" t="s">
        <v>150</v>
      </c>
      <c r="E1" s="19" t="s">
        <v>151</v>
      </c>
      <c r="F1" s="11" t="s">
        <v>258</v>
      </c>
      <c r="G1" s="38" t="s">
        <v>259</v>
      </c>
      <c r="H1" s="40" t="s">
        <v>260</v>
      </c>
    </row>
    <row r="2" spans="1:8">
      <c r="A2" s="20" t="s">
        <v>20</v>
      </c>
      <c r="B2" s="20" t="s">
        <v>152</v>
      </c>
      <c r="C2" s="20" t="s">
        <v>15</v>
      </c>
      <c r="D2" s="21">
        <v>1.37</v>
      </c>
      <c r="E2" s="22">
        <v>39.479999999999997</v>
      </c>
      <c r="G2" s="13">
        <f>E16+E23+E24+E25+E27+E35+E36+E46+E52+E65</f>
        <v>1883.8600000000001</v>
      </c>
      <c r="H2" s="66">
        <f>E11</f>
        <v>119.67</v>
      </c>
    </row>
    <row r="3" spans="1:8">
      <c r="A3" s="20" t="s">
        <v>18</v>
      </c>
      <c r="B3" s="20" t="s">
        <v>152</v>
      </c>
      <c r="C3" s="20" t="s">
        <v>15</v>
      </c>
      <c r="D3" s="21">
        <v>0.93</v>
      </c>
      <c r="E3" s="22">
        <v>25.98</v>
      </c>
      <c r="G3"/>
      <c r="H3"/>
    </row>
    <row r="4" spans="1:8">
      <c r="A4" s="20" t="s">
        <v>19</v>
      </c>
      <c r="B4" s="23" t="s">
        <v>152</v>
      </c>
      <c r="C4" s="20" t="s">
        <v>15</v>
      </c>
      <c r="D4" s="21">
        <v>0.05</v>
      </c>
      <c r="E4" s="22">
        <v>1.55</v>
      </c>
      <c r="G4" s="305" t="s">
        <v>263</v>
      </c>
      <c r="H4" s="306"/>
    </row>
    <row r="5" spans="1:8">
      <c r="A5" s="19" t="s">
        <v>7</v>
      </c>
      <c r="B5" s="20"/>
      <c r="C5" s="20"/>
      <c r="D5" s="24">
        <f>SUM(D2:D4)</f>
        <v>2.35</v>
      </c>
      <c r="E5" s="25">
        <f>SUM(E2:E4)</f>
        <v>67.009999999999991</v>
      </c>
    </row>
    <row r="6" spans="1:8">
      <c r="A6" s="19"/>
      <c r="B6" s="20"/>
      <c r="C6" s="20"/>
      <c r="D6" s="26"/>
      <c r="E6" s="25"/>
    </row>
    <row r="7" spans="1:8">
      <c r="A7" s="20" t="s">
        <v>195</v>
      </c>
      <c r="B7" s="23" t="s">
        <v>155</v>
      </c>
      <c r="C7" s="20" t="s">
        <v>196</v>
      </c>
      <c r="D7" s="21">
        <v>0.25</v>
      </c>
      <c r="E7" s="22">
        <v>7.5</v>
      </c>
    </row>
    <row r="8" spans="1:8">
      <c r="A8" s="20" t="s">
        <v>374</v>
      </c>
      <c r="B8" s="23" t="s">
        <v>155</v>
      </c>
      <c r="C8" s="20" t="s">
        <v>196</v>
      </c>
      <c r="D8" s="21">
        <v>0.53</v>
      </c>
      <c r="E8" s="22">
        <v>16.149999999999999</v>
      </c>
    </row>
    <row r="9" spans="1:8">
      <c r="A9" s="19" t="s">
        <v>7</v>
      </c>
      <c r="B9" s="20"/>
      <c r="C9" s="20"/>
      <c r="D9" s="26">
        <f>SUM(D7:D8)</f>
        <v>0.78</v>
      </c>
      <c r="E9" s="25">
        <f>SUM(E7:E8)</f>
        <v>23.65</v>
      </c>
    </row>
    <row r="10" spans="1:8">
      <c r="A10" s="19"/>
      <c r="B10" s="20"/>
      <c r="C10" s="20"/>
      <c r="D10" s="26"/>
      <c r="E10" s="25"/>
    </row>
    <row r="11" spans="1:8">
      <c r="A11" s="47" t="s">
        <v>209</v>
      </c>
      <c r="B11" s="48" t="s">
        <v>154</v>
      </c>
      <c r="C11" s="47" t="s">
        <v>23</v>
      </c>
      <c r="D11" s="49">
        <v>4.37</v>
      </c>
      <c r="E11" s="50">
        <v>119.67</v>
      </c>
      <c r="F11" s="18" t="s">
        <v>310</v>
      </c>
    </row>
    <row r="12" spans="1:8">
      <c r="A12" s="20" t="s">
        <v>22</v>
      </c>
      <c r="B12" s="23" t="s">
        <v>154</v>
      </c>
      <c r="C12" s="20" t="s">
        <v>23</v>
      </c>
      <c r="D12" s="21">
        <v>1.83</v>
      </c>
      <c r="E12" s="22">
        <v>55.83</v>
      </c>
    </row>
    <row r="13" spans="1:8">
      <c r="A13" s="19" t="s">
        <v>7</v>
      </c>
      <c r="B13" s="20"/>
      <c r="C13" s="20"/>
      <c r="D13" s="26">
        <f>SUM(D11:D12)</f>
        <v>6.2</v>
      </c>
      <c r="E13" s="25">
        <f>SUM(E11:E12)</f>
        <v>175.5</v>
      </c>
    </row>
    <row r="14" spans="1:8">
      <c r="A14" s="19"/>
      <c r="B14" s="20"/>
      <c r="C14" s="20"/>
      <c r="D14" s="26"/>
      <c r="E14" s="25"/>
    </row>
    <row r="15" spans="1:8">
      <c r="A15" s="20" t="s">
        <v>14</v>
      </c>
      <c r="B15" s="23" t="s">
        <v>156</v>
      </c>
      <c r="C15" s="20" t="s">
        <v>91</v>
      </c>
      <c r="D15" s="21">
        <v>0.27</v>
      </c>
      <c r="E15" s="22">
        <v>7</v>
      </c>
    </row>
    <row r="16" spans="1:8">
      <c r="A16" s="27" t="s">
        <v>335</v>
      </c>
      <c r="B16" s="28" t="s">
        <v>156</v>
      </c>
      <c r="C16" s="27" t="s">
        <v>91</v>
      </c>
      <c r="D16" s="29">
        <v>5.08</v>
      </c>
      <c r="E16" s="30">
        <v>141.06</v>
      </c>
      <c r="F16" s="18" t="s">
        <v>310</v>
      </c>
      <c r="G16" s="104"/>
    </row>
    <row r="17" spans="1:6">
      <c r="A17" s="20" t="s">
        <v>92</v>
      </c>
      <c r="B17" s="23" t="s">
        <v>156</v>
      </c>
      <c r="C17" s="20" t="s">
        <v>91</v>
      </c>
      <c r="D17" s="21">
        <v>1.27</v>
      </c>
      <c r="E17" s="22">
        <v>33.520000000000003</v>
      </c>
    </row>
    <row r="18" spans="1:6">
      <c r="A18" s="19" t="s">
        <v>7</v>
      </c>
      <c r="B18" s="20"/>
      <c r="C18" s="20"/>
      <c r="D18" s="26">
        <f>SUM(D15:D17)</f>
        <v>6.6199999999999992</v>
      </c>
      <c r="E18" s="25">
        <f>SUM(E15:E17)</f>
        <v>181.58</v>
      </c>
    </row>
    <row r="19" spans="1:6">
      <c r="A19" s="20"/>
      <c r="B19" s="20"/>
      <c r="C19" s="20"/>
      <c r="D19" s="21"/>
      <c r="E19" s="22"/>
    </row>
    <row r="20" spans="1:6">
      <c r="A20" s="20" t="s">
        <v>336</v>
      </c>
      <c r="B20" s="23" t="s">
        <v>157</v>
      </c>
      <c r="C20" s="20" t="s">
        <v>66</v>
      </c>
      <c r="D20" s="21">
        <v>3.15</v>
      </c>
      <c r="E20" s="22">
        <v>61.43</v>
      </c>
    </row>
    <row r="21" spans="1:6">
      <c r="A21" s="20" t="s">
        <v>266</v>
      </c>
      <c r="B21" s="23" t="s">
        <v>157</v>
      </c>
      <c r="C21" s="20" t="s">
        <v>66</v>
      </c>
      <c r="D21" s="21">
        <v>0.08</v>
      </c>
      <c r="E21" s="22">
        <v>1.63</v>
      </c>
    </row>
    <row r="22" spans="1:6">
      <c r="A22" s="20" t="s">
        <v>290</v>
      </c>
      <c r="B22" s="23" t="s">
        <v>157</v>
      </c>
      <c r="C22" s="20" t="s">
        <v>66</v>
      </c>
      <c r="D22" s="21">
        <v>1.57</v>
      </c>
      <c r="E22" s="22">
        <v>30.55</v>
      </c>
    </row>
    <row r="23" spans="1:6">
      <c r="A23" s="27" t="s">
        <v>175</v>
      </c>
      <c r="B23" s="28" t="s">
        <v>157</v>
      </c>
      <c r="C23" s="27" t="s">
        <v>66</v>
      </c>
      <c r="D23" s="29">
        <v>6.75</v>
      </c>
      <c r="E23" s="30">
        <v>131.63</v>
      </c>
      <c r="F23" s="18" t="s">
        <v>310</v>
      </c>
    </row>
    <row r="24" spans="1:6">
      <c r="A24" s="27" t="s">
        <v>228</v>
      </c>
      <c r="B24" s="28" t="s">
        <v>157</v>
      </c>
      <c r="C24" s="27" t="s">
        <v>66</v>
      </c>
      <c r="D24" s="29">
        <v>7.13</v>
      </c>
      <c r="E24" s="30">
        <v>139.1</v>
      </c>
      <c r="F24" s="18" t="s">
        <v>310</v>
      </c>
    </row>
    <row r="25" spans="1:6">
      <c r="A25" s="27" t="s">
        <v>210</v>
      </c>
      <c r="B25" s="28" t="s">
        <v>157</v>
      </c>
      <c r="C25" s="27" t="s">
        <v>66</v>
      </c>
      <c r="D25" s="27">
        <v>7.63</v>
      </c>
      <c r="E25" s="30">
        <v>160.30000000000001</v>
      </c>
      <c r="F25" s="18" t="s">
        <v>310</v>
      </c>
    </row>
    <row r="26" spans="1:6">
      <c r="A26" s="20" t="s">
        <v>267</v>
      </c>
      <c r="B26" s="23" t="s">
        <v>157</v>
      </c>
      <c r="C26" s="20" t="s">
        <v>66</v>
      </c>
      <c r="D26" s="20">
        <v>0.62</v>
      </c>
      <c r="E26" s="22">
        <v>13.88</v>
      </c>
    </row>
    <row r="27" spans="1:6">
      <c r="A27" s="27" t="s">
        <v>85</v>
      </c>
      <c r="B27" s="28" t="s">
        <v>157</v>
      </c>
      <c r="C27" s="27" t="s">
        <v>66</v>
      </c>
      <c r="D27" s="27">
        <v>9.58</v>
      </c>
      <c r="E27" s="30">
        <v>229.43</v>
      </c>
      <c r="F27" s="18" t="s">
        <v>310</v>
      </c>
    </row>
    <row r="28" spans="1:6">
      <c r="A28" s="20" t="s">
        <v>159</v>
      </c>
      <c r="B28" s="23" t="s">
        <v>157</v>
      </c>
      <c r="C28" s="20" t="s">
        <v>66</v>
      </c>
      <c r="D28" s="55">
        <v>1.8</v>
      </c>
      <c r="E28" s="22">
        <v>35.1</v>
      </c>
    </row>
    <row r="29" spans="1:6">
      <c r="A29" s="20" t="s">
        <v>328</v>
      </c>
      <c r="B29" s="23" t="s">
        <v>157</v>
      </c>
      <c r="C29" s="20" t="s">
        <v>66</v>
      </c>
      <c r="D29" s="55">
        <v>2.2000000000000002</v>
      </c>
      <c r="E29" s="22">
        <v>49.5</v>
      </c>
    </row>
    <row r="30" spans="1:6">
      <c r="A30" s="20" t="s">
        <v>79</v>
      </c>
      <c r="B30" s="23" t="s">
        <v>157</v>
      </c>
      <c r="C30" s="20" t="s">
        <v>66</v>
      </c>
      <c r="D30" s="20">
        <v>3.6</v>
      </c>
      <c r="E30" s="22">
        <v>83.7</v>
      </c>
    </row>
    <row r="31" spans="1:6">
      <c r="A31" s="20" t="s">
        <v>375</v>
      </c>
      <c r="B31" s="23" t="s">
        <v>157</v>
      </c>
      <c r="C31" s="20" t="s">
        <v>66</v>
      </c>
      <c r="D31" s="20">
        <v>2.93</v>
      </c>
      <c r="E31" s="22">
        <v>16.149999999999999</v>
      </c>
    </row>
    <row r="32" spans="1:6">
      <c r="A32" s="20" t="s">
        <v>161</v>
      </c>
      <c r="B32" s="23" t="s">
        <v>157</v>
      </c>
      <c r="C32" s="20" t="s">
        <v>66</v>
      </c>
      <c r="D32" s="20">
        <v>0.5</v>
      </c>
      <c r="E32" s="22">
        <v>9.75</v>
      </c>
    </row>
    <row r="33" spans="1:6">
      <c r="A33" s="19" t="s">
        <v>7</v>
      </c>
      <c r="B33" s="20"/>
      <c r="C33" s="20"/>
      <c r="D33" s="26">
        <f>SUM(D20:D32)</f>
        <v>47.54</v>
      </c>
      <c r="E33" s="25">
        <f>SUM(E20:E32)</f>
        <v>962.15000000000009</v>
      </c>
    </row>
    <row r="34" spans="1:6">
      <c r="A34" s="19"/>
      <c r="B34" s="20"/>
      <c r="C34" s="20"/>
      <c r="D34" s="26"/>
      <c r="E34" s="25"/>
    </row>
    <row r="35" spans="1:6">
      <c r="A35" s="27" t="s">
        <v>52</v>
      </c>
      <c r="B35" s="28" t="s">
        <v>162</v>
      </c>
      <c r="C35" s="27" t="s">
        <v>51</v>
      </c>
      <c r="D35" s="29">
        <v>5.35</v>
      </c>
      <c r="E35" s="30">
        <v>120.38</v>
      </c>
      <c r="F35" s="18" t="s">
        <v>310</v>
      </c>
    </row>
    <row r="36" spans="1:6">
      <c r="A36" s="27" t="s">
        <v>163</v>
      </c>
      <c r="B36" s="28" t="s">
        <v>162</v>
      </c>
      <c r="C36" s="27" t="s">
        <v>51</v>
      </c>
      <c r="D36" s="29">
        <v>22.4</v>
      </c>
      <c r="E36" s="30">
        <v>537.6</v>
      </c>
      <c r="F36" s="18" t="s">
        <v>310</v>
      </c>
    </row>
    <row r="37" spans="1:6">
      <c r="A37" s="19" t="s">
        <v>7</v>
      </c>
      <c r="B37" s="20"/>
      <c r="C37" s="20"/>
      <c r="D37" s="26">
        <f>SUM(D35:D36)</f>
        <v>27.75</v>
      </c>
      <c r="E37" s="25">
        <f>SUM(E35:E36)</f>
        <v>657.98</v>
      </c>
    </row>
    <row r="38" spans="1:6">
      <c r="A38" s="19"/>
      <c r="B38" s="20"/>
      <c r="C38" s="20"/>
      <c r="D38" s="26"/>
      <c r="E38" s="25"/>
    </row>
    <row r="39" spans="1:6">
      <c r="A39" s="20" t="s">
        <v>329</v>
      </c>
      <c r="B39" s="23" t="s">
        <v>164</v>
      </c>
      <c r="C39" s="20" t="s">
        <v>60</v>
      </c>
      <c r="D39" s="21">
        <v>0.12</v>
      </c>
      <c r="E39" s="22">
        <v>3.15</v>
      </c>
    </row>
    <row r="40" spans="1:6">
      <c r="A40" s="19" t="s">
        <v>7</v>
      </c>
      <c r="B40" s="20"/>
      <c r="C40" s="20"/>
      <c r="D40" s="26">
        <f>SUM(D39:D39)</f>
        <v>0.12</v>
      </c>
      <c r="E40" s="25">
        <f>SUM(E39:E39)</f>
        <v>3.15</v>
      </c>
    </row>
    <row r="41" spans="1:6">
      <c r="A41" s="19"/>
      <c r="B41" s="20"/>
      <c r="C41" s="20"/>
      <c r="D41" s="26"/>
      <c r="E41" s="25"/>
    </row>
    <row r="42" spans="1:6">
      <c r="A42" s="20" t="s">
        <v>339</v>
      </c>
      <c r="B42" s="23" t="s">
        <v>165</v>
      </c>
      <c r="C42" s="20" t="s">
        <v>45</v>
      </c>
      <c r="D42" s="21">
        <v>3.55</v>
      </c>
      <c r="E42" s="22">
        <v>71.849999999999994</v>
      </c>
    </row>
    <row r="43" spans="1:6">
      <c r="A43" s="19" t="s">
        <v>7</v>
      </c>
      <c r="B43" s="20"/>
      <c r="C43" s="20"/>
      <c r="D43" s="26">
        <f>SUM(D42:D42)</f>
        <v>3.55</v>
      </c>
      <c r="E43" s="25">
        <f>SUM(E42:E42)</f>
        <v>71.849999999999994</v>
      </c>
    </row>
    <row r="44" spans="1:6">
      <c r="A44" s="19"/>
      <c r="B44" s="20"/>
      <c r="C44" s="20"/>
      <c r="D44" s="26"/>
      <c r="E44" s="25"/>
    </row>
    <row r="45" spans="1:6">
      <c r="A45" s="20" t="s">
        <v>253</v>
      </c>
      <c r="B45" s="23" t="s">
        <v>167</v>
      </c>
      <c r="C45" s="20" t="s">
        <v>54</v>
      </c>
      <c r="D45" s="21">
        <v>0.2</v>
      </c>
      <c r="E45" s="22">
        <v>4.2</v>
      </c>
    </row>
    <row r="46" spans="1:6">
      <c r="A46" s="27" t="s">
        <v>270</v>
      </c>
      <c r="B46" s="28" t="s">
        <v>167</v>
      </c>
      <c r="C46" s="27" t="s">
        <v>54</v>
      </c>
      <c r="D46" s="29">
        <v>4.22</v>
      </c>
      <c r="E46" s="30">
        <v>113.85</v>
      </c>
      <c r="F46" s="18" t="s">
        <v>310</v>
      </c>
    </row>
    <row r="47" spans="1:6">
      <c r="A47" s="19" t="s">
        <v>7</v>
      </c>
      <c r="B47" s="23"/>
      <c r="C47" s="20"/>
      <c r="D47" s="26">
        <f>SUM(D45:D46)</f>
        <v>4.42</v>
      </c>
      <c r="E47" s="25">
        <f>SUM(E45:E46)</f>
        <v>118.05</v>
      </c>
    </row>
    <row r="48" spans="1:6">
      <c r="A48" s="19"/>
      <c r="B48" s="23"/>
      <c r="C48" s="20"/>
      <c r="D48" s="26"/>
      <c r="E48" s="25"/>
    </row>
    <row r="49" spans="1:6">
      <c r="A49" s="20" t="s">
        <v>312</v>
      </c>
      <c r="B49" s="23" t="s">
        <v>171</v>
      </c>
      <c r="C49" s="20" t="s">
        <v>25</v>
      </c>
      <c r="D49" s="21">
        <v>0.28000000000000003</v>
      </c>
      <c r="E49" s="22">
        <v>7.23</v>
      </c>
    </row>
    <row r="50" spans="1:6">
      <c r="A50" s="20" t="s">
        <v>367</v>
      </c>
      <c r="B50" s="23" t="s">
        <v>171</v>
      </c>
      <c r="C50" s="20" t="s">
        <v>25</v>
      </c>
      <c r="D50" s="21">
        <v>0.05</v>
      </c>
      <c r="E50" s="22">
        <v>1.28</v>
      </c>
    </row>
    <row r="51" spans="1:6">
      <c r="A51" s="20" t="s">
        <v>286</v>
      </c>
      <c r="B51" s="20" t="s">
        <v>171</v>
      </c>
      <c r="C51" s="20" t="s">
        <v>25</v>
      </c>
      <c r="D51" s="21">
        <v>2.0499999999999998</v>
      </c>
      <c r="E51" s="22">
        <v>52.28</v>
      </c>
    </row>
    <row r="52" spans="1:6">
      <c r="A52" s="27" t="s">
        <v>306</v>
      </c>
      <c r="B52" s="28" t="s">
        <v>171</v>
      </c>
      <c r="C52" s="27" t="s">
        <v>25</v>
      </c>
      <c r="D52" s="29">
        <v>6.57</v>
      </c>
      <c r="E52" s="30">
        <v>172.38</v>
      </c>
      <c r="F52" s="18" t="s">
        <v>310</v>
      </c>
    </row>
    <row r="53" spans="1:6">
      <c r="A53" s="20" t="s">
        <v>368</v>
      </c>
      <c r="B53" s="23" t="s">
        <v>171</v>
      </c>
      <c r="C53" s="20" t="s">
        <v>25</v>
      </c>
      <c r="D53" s="21">
        <v>1.05</v>
      </c>
      <c r="E53" s="22">
        <v>26.78</v>
      </c>
    </row>
    <row r="54" spans="1:6">
      <c r="A54" s="19" t="s">
        <v>7</v>
      </c>
      <c r="B54" s="20"/>
      <c r="C54" s="20"/>
      <c r="D54" s="26">
        <f>SUM(D49:D53)</f>
        <v>10</v>
      </c>
      <c r="E54" s="25">
        <f>SUM(E49:E53)</f>
        <v>259.95</v>
      </c>
    </row>
    <row r="55" spans="1:6">
      <c r="A55" s="19"/>
      <c r="B55" s="20"/>
      <c r="C55" s="20"/>
      <c r="D55" s="26"/>
      <c r="E55" s="25"/>
    </row>
    <row r="56" spans="1:6">
      <c r="A56" s="20" t="s">
        <v>347</v>
      </c>
      <c r="B56" s="23" t="s">
        <v>172</v>
      </c>
      <c r="C56" s="20" t="s">
        <v>348</v>
      </c>
      <c r="D56" s="21">
        <v>0.1</v>
      </c>
      <c r="E56" s="22">
        <v>2.7</v>
      </c>
    </row>
    <row r="57" spans="1:6">
      <c r="A57" s="20" t="s">
        <v>13</v>
      </c>
      <c r="B57" s="23" t="s">
        <v>172</v>
      </c>
      <c r="C57" s="20" t="s">
        <v>348</v>
      </c>
      <c r="D57" s="21">
        <v>0.67</v>
      </c>
      <c r="E57" s="22">
        <v>24.76</v>
      </c>
    </row>
    <row r="58" spans="1:6">
      <c r="A58" s="19" t="s">
        <v>7</v>
      </c>
      <c r="B58" s="20"/>
      <c r="C58" s="20"/>
      <c r="D58" s="26">
        <f>SUM(D56:D57)</f>
        <v>0.77</v>
      </c>
      <c r="E58" s="25">
        <f>SUM(E56:E57)</f>
        <v>27.46</v>
      </c>
    </row>
    <row r="59" spans="1:6">
      <c r="A59" s="20"/>
      <c r="B59" s="20"/>
      <c r="C59" s="20"/>
      <c r="D59" s="21"/>
      <c r="E59" s="22"/>
    </row>
    <row r="60" spans="1:6">
      <c r="A60" s="20" t="s">
        <v>307</v>
      </c>
      <c r="B60" s="20">
        <v>100035</v>
      </c>
      <c r="C60" s="20" t="s">
        <v>332</v>
      </c>
      <c r="D60" s="21">
        <v>0.72</v>
      </c>
      <c r="E60" s="22">
        <f>(24.54*1.5)*D60</f>
        <v>26.5032</v>
      </c>
    </row>
    <row r="61" spans="1:6">
      <c r="A61" s="20" t="s">
        <v>331</v>
      </c>
      <c r="B61" s="20">
        <v>100035</v>
      </c>
      <c r="C61" s="20" t="s">
        <v>332</v>
      </c>
      <c r="D61" s="21">
        <v>1.23</v>
      </c>
      <c r="E61" s="22">
        <v>37</v>
      </c>
    </row>
    <row r="62" spans="1:6">
      <c r="A62" s="19" t="s">
        <v>7</v>
      </c>
      <c r="B62" s="20"/>
      <c r="C62" s="20"/>
      <c r="D62" s="26">
        <f>SUM(D60:D61)</f>
        <v>1.95</v>
      </c>
      <c r="E62" s="25">
        <f>SUM(E60:E61)</f>
        <v>63.5032</v>
      </c>
    </row>
    <row r="63" spans="1:6">
      <c r="A63" s="19"/>
      <c r="B63" s="20"/>
      <c r="C63" s="20"/>
      <c r="D63" s="21"/>
      <c r="E63" s="22"/>
    </row>
    <row r="64" spans="1:6">
      <c r="A64" s="20" t="s">
        <v>37</v>
      </c>
      <c r="B64" s="20">
        <v>100051</v>
      </c>
      <c r="C64" s="20" t="s">
        <v>34</v>
      </c>
      <c r="D64" s="21">
        <v>4</v>
      </c>
      <c r="E64" s="22">
        <v>88.08</v>
      </c>
    </row>
    <row r="65" spans="1:6">
      <c r="A65" s="27" t="s">
        <v>341</v>
      </c>
      <c r="B65" s="27">
        <v>100051</v>
      </c>
      <c r="C65" s="27" t="s">
        <v>34</v>
      </c>
      <c r="D65" s="29">
        <v>7.08</v>
      </c>
      <c r="E65" s="30">
        <v>138.13</v>
      </c>
      <c r="F65" s="18" t="s">
        <v>310</v>
      </c>
    </row>
    <row r="66" spans="1:6">
      <c r="A66" s="19" t="s">
        <v>7</v>
      </c>
      <c r="B66" s="20"/>
      <c r="C66" s="20"/>
      <c r="D66" s="26">
        <f>SUM(D64:D65)</f>
        <v>11.08</v>
      </c>
      <c r="E66" s="25">
        <f>SUM(E64:E65)</f>
        <v>226.20999999999998</v>
      </c>
    </row>
    <row r="67" spans="1:6">
      <c r="A67" s="19"/>
      <c r="B67" s="20"/>
      <c r="C67" s="20"/>
      <c r="D67" s="26"/>
      <c r="E67" s="25"/>
    </row>
    <row r="68" spans="1:6">
      <c r="A68" s="20" t="s">
        <v>16</v>
      </c>
      <c r="B68" s="20">
        <v>290020</v>
      </c>
      <c r="C68" s="20" t="s">
        <v>373</v>
      </c>
      <c r="D68" s="21">
        <v>2.08</v>
      </c>
      <c r="E68" s="22">
        <v>57.09</v>
      </c>
    </row>
    <row r="69" spans="1:6">
      <c r="A69" s="19"/>
      <c r="B69" s="20"/>
      <c r="C69" s="20"/>
      <c r="D69" s="26">
        <f>SUM(D68)</f>
        <v>2.08</v>
      </c>
      <c r="E69" s="25">
        <f>SUM(E68)</f>
        <v>57.09</v>
      </c>
    </row>
    <row r="70" spans="1:6">
      <c r="A70" s="19"/>
      <c r="B70" s="20"/>
      <c r="C70" s="20"/>
      <c r="D70" s="26"/>
      <c r="E70" s="25"/>
    </row>
    <row r="71" spans="1:6">
      <c r="A71" s="20" t="s">
        <v>100</v>
      </c>
      <c r="B71" s="20">
        <v>400035</v>
      </c>
      <c r="C71" s="20" t="s">
        <v>376</v>
      </c>
      <c r="D71" s="21">
        <v>0.32</v>
      </c>
      <c r="E71" s="22">
        <v>9.5</v>
      </c>
    </row>
    <row r="72" spans="1:6">
      <c r="A72" s="19" t="s">
        <v>7</v>
      </c>
      <c r="B72" s="20"/>
      <c r="C72" s="20"/>
      <c r="D72" s="26">
        <f>SUM(D71)</f>
        <v>0.32</v>
      </c>
      <c r="E72" s="25">
        <f>SUM(E71)</f>
        <v>9.5</v>
      </c>
    </row>
    <row r="73" spans="1:6">
      <c r="A73" s="20"/>
      <c r="B73" s="20"/>
      <c r="C73" s="20"/>
      <c r="D73" s="21"/>
      <c r="E73" s="22"/>
    </row>
    <row r="74" spans="1:6">
      <c r="A74" s="20" t="s">
        <v>244</v>
      </c>
      <c r="B74" s="20">
        <v>400020</v>
      </c>
      <c r="C74" s="20" t="s">
        <v>98</v>
      </c>
      <c r="D74" s="21">
        <v>1.93</v>
      </c>
      <c r="E74" s="22">
        <v>46.4</v>
      </c>
    </row>
    <row r="75" spans="1:6">
      <c r="A75" s="20" t="s">
        <v>97</v>
      </c>
      <c r="B75" s="20" t="s">
        <v>181</v>
      </c>
      <c r="C75" s="20" t="s">
        <v>98</v>
      </c>
      <c r="D75" s="21">
        <v>1.47</v>
      </c>
      <c r="E75" s="22">
        <v>44.88</v>
      </c>
    </row>
    <row r="76" spans="1:6">
      <c r="A76" s="19" t="s">
        <v>7</v>
      </c>
      <c r="B76" s="20"/>
      <c r="C76" s="20"/>
      <c r="D76" s="26">
        <f>SUM(D74:D75)</f>
        <v>3.4</v>
      </c>
      <c r="E76" s="25">
        <f>SUM(E74:E75)</f>
        <v>91.28</v>
      </c>
    </row>
    <row r="77" spans="1:6">
      <c r="A77" s="19"/>
      <c r="B77" s="20"/>
      <c r="C77" s="20"/>
      <c r="D77" s="26"/>
      <c r="E77" s="25"/>
    </row>
    <row r="78" spans="1:6">
      <c r="A78" s="19" t="s">
        <v>194</v>
      </c>
      <c r="B78" s="20"/>
      <c r="C78" s="20"/>
      <c r="D78" s="26">
        <v>126.27</v>
      </c>
      <c r="E78" s="25">
        <v>2958.47</v>
      </c>
    </row>
    <row r="79" spans="1:6">
      <c r="A79" s="20"/>
      <c r="B79" s="20"/>
      <c r="C79" s="20"/>
      <c r="D79" s="21"/>
      <c r="E79" s="22"/>
    </row>
    <row r="80" spans="1:6">
      <c r="D80" s="107">
        <f>D5+D9+D13+D18+D33+D37+D40+D43+D47+D54+D58+D62+D66+D69+D72+D76</f>
        <v>128.92999999999998</v>
      </c>
      <c r="E80" s="108">
        <f>E5+E9+E13+E18+E33+E37+E40+E43+E47+E54+E58+E62+E66+E69+E72+E76</f>
        <v>2995.9132000000004</v>
      </c>
    </row>
  </sheetData>
  <mergeCells count="1">
    <mergeCell ref="G4:H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06"/>
  <sheetViews>
    <sheetView workbookViewId="0">
      <selection activeCell="E107" sqref="E107"/>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13.85546875" style="18" bestFit="1" customWidth="1"/>
    <col min="7" max="7" width="27.28515625" style="18" customWidth="1"/>
    <col min="8" max="8" width="30.7109375" style="18" customWidth="1"/>
    <col min="9" max="16384" width="9.140625" style="18"/>
  </cols>
  <sheetData>
    <row r="1" spans="1:8">
      <c r="A1" s="19" t="s">
        <v>147</v>
      </c>
      <c r="B1" s="19" t="s">
        <v>148</v>
      </c>
      <c r="C1" s="19" t="s">
        <v>149</v>
      </c>
      <c r="D1" s="19" t="s">
        <v>150</v>
      </c>
      <c r="E1" s="19" t="s">
        <v>151</v>
      </c>
      <c r="F1" s="11" t="s">
        <v>258</v>
      </c>
      <c r="G1" s="38" t="s">
        <v>259</v>
      </c>
      <c r="H1" s="88" t="s">
        <v>334</v>
      </c>
    </row>
    <row r="2" spans="1:8">
      <c r="A2" s="80" t="s">
        <v>20</v>
      </c>
      <c r="B2" s="80" t="s">
        <v>152</v>
      </c>
      <c r="C2" s="80" t="s">
        <v>15</v>
      </c>
      <c r="D2" s="82">
        <v>5.63</v>
      </c>
      <c r="E2" s="83">
        <v>162.75</v>
      </c>
      <c r="F2" s="18" t="s">
        <v>310</v>
      </c>
      <c r="G2" s="13">
        <f>E24+E26+E30+E32+E34+E35+E37+E41+E50+E54+E56</f>
        <v>3017.45</v>
      </c>
      <c r="H2" s="89">
        <f>E2+E4+E6+E99</f>
        <v>1993.27</v>
      </c>
    </row>
    <row r="3" spans="1:8">
      <c r="A3" s="20" t="s">
        <v>366</v>
      </c>
      <c r="B3" s="23" t="s">
        <v>152</v>
      </c>
      <c r="C3" s="20" t="s">
        <v>15</v>
      </c>
      <c r="D3" s="21">
        <v>1.08</v>
      </c>
      <c r="E3" s="22">
        <v>27.63</v>
      </c>
      <c r="G3"/>
      <c r="H3"/>
    </row>
    <row r="4" spans="1:8">
      <c r="A4" s="80" t="s">
        <v>18</v>
      </c>
      <c r="B4" s="80" t="s">
        <v>152</v>
      </c>
      <c r="C4" s="80" t="s">
        <v>15</v>
      </c>
      <c r="D4" s="82">
        <v>22.83</v>
      </c>
      <c r="E4" s="83">
        <v>635.67999999999995</v>
      </c>
      <c r="F4" s="18" t="s">
        <v>310</v>
      </c>
      <c r="G4" s="305" t="s">
        <v>263</v>
      </c>
      <c r="H4" s="306"/>
    </row>
    <row r="5" spans="1:8">
      <c r="A5" s="20" t="s">
        <v>19</v>
      </c>
      <c r="B5" s="23" t="s">
        <v>152</v>
      </c>
      <c r="C5" s="20" t="s">
        <v>15</v>
      </c>
      <c r="D5" s="21">
        <v>0.73</v>
      </c>
      <c r="E5" s="22">
        <v>22.66</v>
      </c>
    </row>
    <row r="6" spans="1:8">
      <c r="A6" s="80" t="s">
        <v>377</v>
      </c>
      <c r="B6" s="81" t="s">
        <v>152</v>
      </c>
      <c r="C6" s="80" t="s">
        <v>15</v>
      </c>
      <c r="D6" s="82">
        <v>27.85</v>
      </c>
      <c r="E6" s="83">
        <v>895.24</v>
      </c>
      <c r="F6" s="18" t="s">
        <v>310</v>
      </c>
    </row>
    <row r="7" spans="1:8">
      <c r="A7" s="19" t="s">
        <v>7</v>
      </c>
      <c r="B7" s="20"/>
      <c r="C7" s="20"/>
      <c r="D7" s="24">
        <f>SUM(D2:D6)</f>
        <v>58.120000000000005</v>
      </c>
      <c r="E7" s="25">
        <f>SUM(E2:E6)</f>
        <v>1743.96</v>
      </c>
    </row>
    <row r="8" spans="1:8">
      <c r="A8" s="19"/>
      <c r="B8" s="20"/>
      <c r="C8" s="20"/>
      <c r="D8" s="26"/>
      <c r="E8" s="25"/>
    </row>
    <row r="9" spans="1:8">
      <c r="A9" s="20" t="s">
        <v>195</v>
      </c>
      <c r="B9" s="23" t="s">
        <v>155</v>
      </c>
      <c r="C9" s="20" t="s">
        <v>196</v>
      </c>
      <c r="D9" s="21">
        <v>0.25</v>
      </c>
      <c r="E9" s="22">
        <v>7.5</v>
      </c>
    </row>
    <row r="10" spans="1:8">
      <c r="A10" s="20" t="s">
        <v>374</v>
      </c>
      <c r="B10" s="23" t="s">
        <v>155</v>
      </c>
      <c r="C10" s="20" t="s">
        <v>196</v>
      </c>
      <c r="D10" s="21">
        <v>0.53</v>
      </c>
      <c r="E10" s="22">
        <v>16.149999999999999</v>
      </c>
    </row>
    <row r="11" spans="1:8">
      <c r="A11" s="19" t="s">
        <v>7</v>
      </c>
      <c r="B11" s="20"/>
      <c r="C11" s="20"/>
      <c r="D11" s="26">
        <f>SUM(D9:D10)</f>
        <v>0.78</v>
      </c>
      <c r="E11" s="25">
        <f>SUM(E9:E10)</f>
        <v>23.65</v>
      </c>
    </row>
    <row r="12" spans="1:8">
      <c r="A12" s="19"/>
      <c r="B12" s="20"/>
      <c r="C12" s="20"/>
      <c r="D12" s="26"/>
      <c r="E12" s="25"/>
    </row>
    <row r="13" spans="1:8">
      <c r="A13" s="20" t="s">
        <v>209</v>
      </c>
      <c r="B13" s="23" t="s">
        <v>154</v>
      </c>
      <c r="C13" s="20" t="s">
        <v>23</v>
      </c>
      <c r="D13" s="21">
        <v>1.08</v>
      </c>
      <c r="E13" s="22">
        <v>29.69</v>
      </c>
    </row>
    <row r="14" spans="1:8">
      <c r="A14" s="19" t="s">
        <v>7</v>
      </c>
      <c r="B14" s="20"/>
      <c r="C14" s="20"/>
      <c r="D14" s="26">
        <f>SUM(D13:D13)</f>
        <v>1.08</v>
      </c>
      <c r="E14" s="25">
        <f>SUM(E13:E13)</f>
        <v>29.69</v>
      </c>
    </row>
    <row r="15" spans="1:8">
      <c r="A15" s="19"/>
      <c r="B15" s="20"/>
      <c r="C15" s="20"/>
      <c r="D15" s="26"/>
      <c r="E15" s="25"/>
    </row>
    <row r="16" spans="1:8">
      <c r="A16" s="20" t="s">
        <v>14</v>
      </c>
      <c r="B16" s="23" t="s">
        <v>156</v>
      </c>
      <c r="C16" s="20" t="s">
        <v>91</v>
      </c>
      <c r="D16" s="21">
        <v>0.1</v>
      </c>
      <c r="E16" s="22">
        <v>2.63</v>
      </c>
    </row>
    <row r="17" spans="1:6">
      <c r="A17" s="20" t="s">
        <v>335</v>
      </c>
      <c r="B17" s="23" t="s">
        <v>156</v>
      </c>
      <c r="C17" s="20" t="s">
        <v>91</v>
      </c>
      <c r="D17" s="21">
        <v>2.98</v>
      </c>
      <c r="E17" s="22">
        <v>82.79</v>
      </c>
    </row>
    <row r="18" spans="1:6">
      <c r="A18" s="20" t="s">
        <v>92</v>
      </c>
      <c r="B18" s="23" t="s">
        <v>156</v>
      </c>
      <c r="C18" s="20" t="s">
        <v>91</v>
      </c>
      <c r="D18" s="21">
        <v>1.05</v>
      </c>
      <c r="E18" s="22">
        <v>27.78</v>
      </c>
    </row>
    <row r="19" spans="1:6">
      <c r="A19" s="19" t="s">
        <v>7</v>
      </c>
      <c r="B19" s="20"/>
      <c r="C19" s="20"/>
      <c r="D19" s="26">
        <f>SUM(D16:D18)</f>
        <v>4.13</v>
      </c>
      <c r="E19" s="25">
        <f>SUM(E16:E18)</f>
        <v>113.2</v>
      </c>
    </row>
    <row r="20" spans="1:6">
      <c r="A20" s="20"/>
      <c r="B20" s="20"/>
      <c r="C20" s="20"/>
      <c r="D20" s="21"/>
      <c r="E20" s="22"/>
    </row>
    <row r="21" spans="1:6">
      <c r="A21" s="20" t="s">
        <v>336</v>
      </c>
      <c r="B21" s="23" t="s">
        <v>157</v>
      </c>
      <c r="C21" s="20" t="s">
        <v>66</v>
      </c>
      <c r="D21" s="21">
        <v>3.68</v>
      </c>
      <c r="E21" s="22">
        <v>71.83</v>
      </c>
    </row>
    <row r="22" spans="1:6">
      <c r="A22" s="20" t="s">
        <v>266</v>
      </c>
      <c r="B22" s="23" t="s">
        <v>157</v>
      </c>
      <c r="C22" s="20" t="s">
        <v>66</v>
      </c>
      <c r="D22" s="21">
        <v>0.3</v>
      </c>
      <c r="E22" s="22">
        <v>5.85</v>
      </c>
    </row>
    <row r="23" spans="1:6">
      <c r="A23" s="20" t="s">
        <v>290</v>
      </c>
      <c r="B23" s="23" t="s">
        <v>157</v>
      </c>
      <c r="C23" s="20" t="s">
        <v>66</v>
      </c>
      <c r="D23" s="21">
        <v>2.8</v>
      </c>
      <c r="E23" s="22">
        <v>54.6</v>
      </c>
    </row>
    <row r="24" spans="1:6">
      <c r="A24" s="27" t="s">
        <v>228</v>
      </c>
      <c r="B24" s="28" t="s">
        <v>157</v>
      </c>
      <c r="C24" s="27" t="s">
        <v>66</v>
      </c>
      <c r="D24" s="29">
        <v>22.22</v>
      </c>
      <c r="E24" s="30">
        <v>433.23</v>
      </c>
      <c r="F24" s="18" t="s">
        <v>310</v>
      </c>
    </row>
    <row r="25" spans="1:6">
      <c r="A25" s="20" t="s">
        <v>210</v>
      </c>
      <c r="B25" s="23" t="s">
        <v>157</v>
      </c>
      <c r="C25" s="20" t="s">
        <v>66</v>
      </c>
      <c r="D25" s="20">
        <v>2.1</v>
      </c>
      <c r="E25" s="22">
        <v>44.1</v>
      </c>
    </row>
    <row r="26" spans="1:6">
      <c r="A26" s="27" t="s">
        <v>378</v>
      </c>
      <c r="B26" s="28" t="s">
        <v>157</v>
      </c>
      <c r="C26" s="27" t="s">
        <v>66</v>
      </c>
      <c r="D26" s="27">
        <v>9.02</v>
      </c>
      <c r="E26" s="30">
        <v>175.83</v>
      </c>
      <c r="F26" s="18" t="s">
        <v>310</v>
      </c>
    </row>
    <row r="27" spans="1:6">
      <c r="A27" s="20" t="s">
        <v>379</v>
      </c>
      <c r="B27" s="23" t="s">
        <v>157</v>
      </c>
      <c r="C27" s="20" t="s">
        <v>66</v>
      </c>
      <c r="D27" s="20">
        <v>0.23</v>
      </c>
      <c r="E27" s="22">
        <v>4.55</v>
      </c>
    </row>
    <row r="28" spans="1:6">
      <c r="A28" s="20" t="s">
        <v>380</v>
      </c>
      <c r="B28" s="23" t="s">
        <v>157</v>
      </c>
      <c r="C28" s="20" t="s">
        <v>66</v>
      </c>
      <c r="D28" s="20">
        <v>0.1</v>
      </c>
      <c r="E28" s="22">
        <v>1.95</v>
      </c>
    </row>
    <row r="29" spans="1:6">
      <c r="A29" s="20" t="s">
        <v>86</v>
      </c>
      <c r="B29" s="23" t="s">
        <v>157</v>
      </c>
      <c r="C29" s="20" t="s">
        <v>66</v>
      </c>
      <c r="D29" s="20">
        <v>0.35</v>
      </c>
      <c r="E29" s="22">
        <v>7.61</v>
      </c>
    </row>
    <row r="30" spans="1:6">
      <c r="A30" s="27" t="s">
        <v>292</v>
      </c>
      <c r="B30" s="28" t="s">
        <v>157</v>
      </c>
      <c r="C30" s="27" t="s">
        <v>66</v>
      </c>
      <c r="D30" s="27">
        <v>10.62</v>
      </c>
      <c r="E30" s="30">
        <v>207.03</v>
      </c>
      <c r="F30" s="18" t="s">
        <v>310</v>
      </c>
    </row>
    <row r="31" spans="1:6">
      <c r="A31" s="20" t="s">
        <v>85</v>
      </c>
      <c r="B31" s="23" t="s">
        <v>157</v>
      </c>
      <c r="C31" s="20" t="s">
        <v>66</v>
      </c>
      <c r="D31" s="20">
        <v>3.45</v>
      </c>
      <c r="E31" s="22">
        <v>82.59</v>
      </c>
    </row>
    <row r="32" spans="1:6">
      <c r="A32" s="27" t="s">
        <v>159</v>
      </c>
      <c r="B32" s="28" t="s">
        <v>157</v>
      </c>
      <c r="C32" s="27" t="s">
        <v>66</v>
      </c>
      <c r="D32" s="91">
        <v>17.73</v>
      </c>
      <c r="E32" s="30">
        <v>345.8</v>
      </c>
      <c r="F32" s="18" t="s">
        <v>310</v>
      </c>
    </row>
    <row r="33" spans="1:6">
      <c r="A33" s="20" t="s">
        <v>88</v>
      </c>
      <c r="B33" s="23" t="s">
        <v>157</v>
      </c>
      <c r="C33" s="20" t="s">
        <v>66</v>
      </c>
      <c r="D33" s="55">
        <v>2.5</v>
      </c>
      <c r="E33" s="22">
        <v>52.5</v>
      </c>
    </row>
    <row r="34" spans="1:6">
      <c r="A34" s="27" t="s">
        <v>328</v>
      </c>
      <c r="B34" s="28" t="s">
        <v>157</v>
      </c>
      <c r="C34" s="27" t="s">
        <v>66</v>
      </c>
      <c r="D34" s="91">
        <v>17.72</v>
      </c>
      <c r="E34" s="30">
        <v>398.63</v>
      </c>
      <c r="F34" s="18" t="s">
        <v>310</v>
      </c>
    </row>
    <row r="35" spans="1:6">
      <c r="A35" s="27" t="s">
        <v>79</v>
      </c>
      <c r="B35" s="28" t="s">
        <v>157</v>
      </c>
      <c r="C35" s="27" t="s">
        <v>66</v>
      </c>
      <c r="D35" s="27">
        <v>6.27</v>
      </c>
      <c r="E35" s="30">
        <v>145.69999999999999</v>
      </c>
      <c r="F35" s="18" t="s">
        <v>310</v>
      </c>
    </row>
    <row r="36" spans="1:6">
      <c r="A36" s="20" t="s">
        <v>381</v>
      </c>
      <c r="B36" s="23" t="s">
        <v>157</v>
      </c>
      <c r="C36" s="20" t="s">
        <v>66</v>
      </c>
      <c r="D36" s="20">
        <v>2.38</v>
      </c>
      <c r="E36" s="22">
        <v>46.48</v>
      </c>
    </row>
    <row r="37" spans="1:6">
      <c r="A37" s="27" t="s">
        <v>375</v>
      </c>
      <c r="B37" s="28" t="s">
        <v>157</v>
      </c>
      <c r="C37" s="27" t="s">
        <v>66</v>
      </c>
      <c r="D37" s="27">
        <v>11.23</v>
      </c>
      <c r="E37" s="30">
        <v>219.05</v>
      </c>
      <c r="F37" s="18" t="s">
        <v>310</v>
      </c>
    </row>
    <row r="38" spans="1:6">
      <c r="A38" s="19" t="s">
        <v>7</v>
      </c>
      <c r="B38" s="20"/>
      <c r="C38" s="20"/>
      <c r="D38" s="26">
        <f>SUM(D21:D37)</f>
        <v>112.7</v>
      </c>
      <c r="E38" s="25">
        <f>SUM(E21:E37)</f>
        <v>2297.33</v>
      </c>
    </row>
    <row r="39" spans="1:6">
      <c r="A39" s="19"/>
      <c r="B39" s="20"/>
      <c r="C39" s="20"/>
      <c r="D39" s="26"/>
      <c r="E39" s="25"/>
    </row>
    <row r="40" spans="1:6">
      <c r="A40" s="20" t="s">
        <v>52</v>
      </c>
      <c r="B40" s="23" t="s">
        <v>162</v>
      </c>
      <c r="C40" s="20" t="s">
        <v>51</v>
      </c>
      <c r="D40" s="21">
        <v>2.58</v>
      </c>
      <c r="E40" s="22">
        <v>58.13</v>
      </c>
    </row>
    <row r="41" spans="1:6">
      <c r="A41" s="27" t="s">
        <v>163</v>
      </c>
      <c r="B41" s="28" t="s">
        <v>162</v>
      </c>
      <c r="C41" s="27" t="s">
        <v>51</v>
      </c>
      <c r="D41" s="29">
        <v>13.63</v>
      </c>
      <c r="E41" s="30">
        <v>327.2</v>
      </c>
      <c r="F41" s="18" t="s">
        <v>310</v>
      </c>
    </row>
    <row r="42" spans="1:6">
      <c r="A42" s="19" t="s">
        <v>7</v>
      </c>
      <c r="B42" s="20"/>
      <c r="C42" s="20"/>
      <c r="D42" s="26">
        <f>SUM(D40:D41)</f>
        <v>16.21</v>
      </c>
      <c r="E42" s="25">
        <f>SUM(E40:E41)</f>
        <v>385.33</v>
      </c>
    </row>
    <row r="43" spans="1:6">
      <c r="A43" s="19"/>
      <c r="B43" s="20"/>
      <c r="C43" s="20"/>
      <c r="D43" s="26"/>
      <c r="E43" s="25"/>
    </row>
    <row r="44" spans="1:6">
      <c r="A44" s="20" t="s">
        <v>345</v>
      </c>
      <c r="B44" s="23" t="s">
        <v>164</v>
      </c>
      <c r="C44" s="20" t="s">
        <v>60</v>
      </c>
      <c r="D44" s="21">
        <v>1.87</v>
      </c>
      <c r="E44" s="22">
        <v>39.200000000000003</v>
      </c>
    </row>
    <row r="45" spans="1:6">
      <c r="A45" s="20" t="s">
        <v>84</v>
      </c>
      <c r="B45" s="23" t="s">
        <v>164</v>
      </c>
      <c r="C45" s="20" t="s">
        <v>60</v>
      </c>
      <c r="D45" s="21">
        <v>2.72</v>
      </c>
      <c r="E45" s="22">
        <v>57.05</v>
      </c>
    </row>
    <row r="46" spans="1:6">
      <c r="A46" s="20" t="s">
        <v>64</v>
      </c>
      <c r="B46" s="23" t="s">
        <v>164</v>
      </c>
      <c r="C46" s="20" t="s">
        <v>60</v>
      </c>
      <c r="D46" s="21">
        <v>1.05</v>
      </c>
      <c r="E46" s="22">
        <v>20.48</v>
      </c>
    </row>
    <row r="47" spans="1:6">
      <c r="A47" s="20" t="s">
        <v>329</v>
      </c>
      <c r="B47" s="23" t="s">
        <v>164</v>
      </c>
      <c r="C47" s="20" t="s">
        <v>60</v>
      </c>
      <c r="D47" s="21">
        <v>0.25</v>
      </c>
      <c r="E47" s="22">
        <v>6.75</v>
      </c>
    </row>
    <row r="48" spans="1:6">
      <c r="A48" s="19" t="s">
        <v>7</v>
      </c>
      <c r="B48" s="20"/>
      <c r="C48" s="20"/>
      <c r="D48" s="26">
        <f>SUM(D44:D47)</f>
        <v>5.89</v>
      </c>
      <c r="E48" s="25">
        <f>SUM(E44:E47)</f>
        <v>123.48</v>
      </c>
    </row>
    <row r="49" spans="1:6">
      <c r="A49" s="19"/>
      <c r="B49" s="20"/>
      <c r="C49" s="20"/>
      <c r="D49" s="26"/>
      <c r="E49" s="25"/>
    </row>
    <row r="50" spans="1:6">
      <c r="A50" s="27" t="s">
        <v>339</v>
      </c>
      <c r="B50" s="28" t="s">
        <v>165</v>
      </c>
      <c r="C50" s="27" t="s">
        <v>45</v>
      </c>
      <c r="D50" s="29">
        <v>16.97</v>
      </c>
      <c r="E50" s="30">
        <v>343.58</v>
      </c>
      <c r="F50" s="18" t="s">
        <v>310</v>
      </c>
    </row>
    <row r="51" spans="1:6">
      <c r="A51" s="19" t="s">
        <v>7</v>
      </c>
      <c r="B51" s="20"/>
      <c r="C51" s="20"/>
      <c r="D51" s="26">
        <f>SUM(D50:D50)</f>
        <v>16.97</v>
      </c>
      <c r="E51" s="25">
        <f>SUM(E50:E50)</f>
        <v>343.58</v>
      </c>
    </row>
    <row r="52" spans="1:6">
      <c r="A52" s="19"/>
      <c r="B52" s="20"/>
      <c r="C52" s="20"/>
      <c r="D52" s="26"/>
      <c r="E52" s="25"/>
    </row>
    <row r="53" spans="1:6">
      <c r="A53" s="20" t="s">
        <v>166</v>
      </c>
      <c r="B53" s="23" t="s">
        <v>167</v>
      </c>
      <c r="C53" s="20" t="s">
        <v>54</v>
      </c>
      <c r="D53" s="21">
        <v>4.7</v>
      </c>
      <c r="E53" s="22">
        <v>105.75</v>
      </c>
    </row>
    <row r="54" spans="1:6">
      <c r="A54" s="27" t="s">
        <v>253</v>
      </c>
      <c r="B54" s="28" t="s">
        <v>167</v>
      </c>
      <c r="C54" s="27" t="s">
        <v>54</v>
      </c>
      <c r="D54" s="29">
        <v>11.22</v>
      </c>
      <c r="E54" s="30">
        <v>235.55</v>
      </c>
      <c r="F54" s="18" t="s">
        <v>310</v>
      </c>
    </row>
    <row r="55" spans="1:6">
      <c r="A55" s="20" t="s">
        <v>254</v>
      </c>
      <c r="B55" s="23" t="s">
        <v>167</v>
      </c>
      <c r="C55" s="20" t="s">
        <v>54</v>
      </c>
      <c r="D55" s="21">
        <v>0.23</v>
      </c>
      <c r="E55" s="22">
        <v>4.9000000000000004</v>
      </c>
    </row>
    <row r="56" spans="1:6">
      <c r="A56" s="27" t="s">
        <v>270</v>
      </c>
      <c r="B56" s="28" t="s">
        <v>167</v>
      </c>
      <c r="C56" s="27" t="s">
        <v>54</v>
      </c>
      <c r="D56" s="29">
        <v>6.88</v>
      </c>
      <c r="E56" s="30">
        <v>185.85</v>
      </c>
      <c r="F56" s="18" t="s">
        <v>310</v>
      </c>
    </row>
    <row r="57" spans="1:6">
      <c r="A57" s="19" t="s">
        <v>7</v>
      </c>
      <c r="B57" s="23"/>
      <c r="C57" s="20"/>
      <c r="D57" s="26">
        <f>SUM(D53:D56)</f>
        <v>23.03</v>
      </c>
      <c r="E57" s="25">
        <f>SUM(E53:E56)</f>
        <v>532.04999999999995</v>
      </c>
    </row>
    <row r="58" spans="1:6">
      <c r="A58" s="19"/>
      <c r="B58" s="23"/>
      <c r="C58" s="20"/>
      <c r="D58" s="26"/>
      <c r="E58" s="25"/>
    </row>
    <row r="59" spans="1:6">
      <c r="A59" s="20" t="s">
        <v>330</v>
      </c>
      <c r="B59" s="23" t="s">
        <v>240</v>
      </c>
      <c r="C59" s="20" t="s">
        <v>241</v>
      </c>
      <c r="D59" s="21">
        <v>0.23</v>
      </c>
      <c r="E59" s="22">
        <v>7</v>
      </c>
    </row>
    <row r="60" spans="1:6">
      <c r="A60" s="19" t="s">
        <v>7</v>
      </c>
      <c r="B60" s="105"/>
      <c r="C60" s="19"/>
      <c r="D60" s="26">
        <v>0.23</v>
      </c>
      <c r="E60" s="25">
        <v>7</v>
      </c>
    </row>
    <row r="61" spans="1:6">
      <c r="A61" s="19"/>
      <c r="B61" s="23"/>
      <c r="C61" s="20"/>
      <c r="D61" s="26"/>
      <c r="E61" s="25"/>
    </row>
    <row r="62" spans="1:6">
      <c r="A62" s="20" t="s">
        <v>312</v>
      </c>
      <c r="B62" s="23" t="s">
        <v>171</v>
      </c>
      <c r="C62" s="20" t="s">
        <v>25</v>
      </c>
      <c r="D62" s="21">
        <v>0.13</v>
      </c>
      <c r="E62" s="22">
        <v>3.4</v>
      </c>
    </row>
    <row r="63" spans="1:6">
      <c r="A63" s="20" t="s">
        <v>367</v>
      </c>
      <c r="B63" s="23" t="s">
        <v>171</v>
      </c>
      <c r="C63" s="20" t="s">
        <v>25</v>
      </c>
      <c r="D63" s="21">
        <v>0.08</v>
      </c>
      <c r="E63" s="22">
        <v>2.13</v>
      </c>
    </row>
    <row r="64" spans="1:6">
      <c r="A64" s="20" t="s">
        <v>286</v>
      </c>
      <c r="B64" s="20" t="s">
        <v>171</v>
      </c>
      <c r="C64" s="20" t="s">
        <v>25</v>
      </c>
      <c r="D64" s="21">
        <v>0.67</v>
      </c>
      <c r="E64" s="22">
        <v>17</v>
      </c>
    </row>
    <row r="65" spans="1:5">
      <c r="A65" s="20" t="s">
        <v>306</v>
      </c>
      <c r="B65" s="23" t="s">
        <v>171</v>
      </c>
      <c r="C65" s="20" t="s">
        <v>25</v>
      </c>
      <c r="D65" s="21">
        <v>1.52</v>
      </c>
      <c r="E65" s="22">
        <v>39.81</v>
      </c>
    </row>
    <row r="66" spans="1:5">
      <c r="A66" s="20" t="s">
        <v>368</v>
      </c>
      <c r="B66" s="23" t="s">
        <v>171</v>
      </c>
      <c r="C66" s="20" t="s">
        <v>25</v>
      </c>
      <c r="D66" s="21">
        <v>1.18</v>
      </c>
      <c r="E66" s="22">
        <v>30.18</v>
      </c>
    </row>
    <row r="67" spans="1:5">
      <c r="A67" s="19" t="s">
        <v>7</v>
      </c>
      <c r="B67" s="20"/>
      <c r="C67" s="20"/>
      <c r="D67" s="26">
        <f>SUM(D62:D66)</f>
        <v>3.58</v>
      </c>
      <c r="E67" s="25">
        <f>SUM(E62:E66)</f>
        <v>92.52000000000001</v>
      </c>
    </row>
    <row r="68" spans="1:5">
      <c r="A68" s="19"/>
      <c r="B68" s="20"/>
      <c r="C68" s="20"/>
      <c r="D68" s="26"/>
      <c r="E68" s="25"/>
    </row>
    <row r="69" spans="1:5">
      <c r="A69" s="20" t="s">
        <v>13</v>
      </c>
      <c r="B69" s="23" t="s">
        <v>172</v>
      </c>
      <c r="C69" s="20" t="s">
        <v>348</v>
      </c>
      <c r="D69" s="21">
        <v>0.65</v>
      </c>
      <c r="E69" s="22">
        <v>24.14</v>
      </c>
    </row>
    <row r="70" spans="1:5">
      <c r="A70" s="19" t="s">
        <v>7</v>
      </c>
      <c r="B70" s="20"/>
      <c r="C70" s="20"/>
      <c r="D70" s="26">
        <f>SUM(D69:D69)</f>
        <v>0.65</v>
      </c>
      <c r="E70" s="25">
        <f>SUM(E69:E69)</f>
        <v>24.14</v>
      </c>
    </row>
    <row r="71" spans="1:5">
      <c r="A71" s="20"/>
      <c r="B71" s="20"/>
      <c r="C71" s="20"/>
      <c r="D71" s="21"/>
      <c r="E71" s="22"/>
    </row>
    <row r="72" spans="1:5">
      <c r="A72" s="20" t="s">
        <v>307</v>
      </c>
      <c r="B72" s="20">
        <v>100035</v>
      </c>
      <c r="C72" s="20" t="s">
        <v>332</v>
      </c>
      <c r="D72" s="21">
        <v>0.38</v>
      </c>
      <c r="E72" s="22">
        <v>14.04</v>
      </c>
    </row>
    <row r="73" spans="1:5">
      <c r="A73" s="20" t="s">
        <v>331</v>
      </c>
      <c r="B73" s="20">
        <v>100035</v>
      </c>
      <c r="C73" s="20" t="s">
        <v>332</v>
      </c>
      <c r="D73" s="21">
        <v>1.6</v>
      </c>
      <c r="E73" s="22">
        <v>48</v>
      </c>
    </row>
    <row r="74" spans="1:5">
      <c r="A74" s="19" t="s">
        <v>7</v>
      </c>
      <c r="B74" s="20"/>
      <c r="C74" s="20"/>
      <c r="D74" s="26">
        <f>SUM(D72:D73)</f>
        <v>1.98</v>
      </c>
      <c r="E74" s="25">
        <f>SUM(E72:E73)</f>
        <v>62.04</v>
      </c>
    </row>
    <row r="75" spans="1:5">
      <c r="A75" s="19"/>
      <c r="B75" s="20"/>
      <c r="C75" s="20"/>
      <c r="D75" s="21"/>
      <c r="E75" s="22"/>
    </row>
    <row r="76" spans="1:5">
      <c r="A76" s="20" t="s">
        <v>37</v>
      </c>
      <c r="B76" s="20">
        <v>100051</v>
      </c>
      <c r="C76" s="20" t="s">
        <v>34</v>
      </c>
      <c r="D76" s="21">
        <v>2.5299999999999998</v>
      </c>
      <c r="E76" s="22">
        <v>55.78</v>
      </c>
    </row>
    <row r="77" spans="1:5">
      <c r="A77" s="20" t="s">
        <v>341</v>
      </c>
      <c r="B77" s="20">
        <v>100051</v>
      </c>
      <c r="C77" s="20" t="s">
        <v>34</v>
      </c>
      <c r="D77" s="21">
        <v>2.65</v>
      </c>
      <c r="E77" s="22">
        <v>51.68</v>
      </c>
    </row>
    <row r="78" spans="1:5">
      <c r="A78" s="19" t="s">
        <v>7</v>
      </c>
      <c r="B78" s="20"/>
      <c r="C78" s="20"/>
      <c r="D78" s="26">
        <f>SUM(D76:D77)</f>
        <v>5.18</v>
      </c>
      <c r="E78" s="25">
        <f>SUM(E76:E77)</f>
        <v>107.46000000000001</v>
      </c>
    </row>
    <row r="79" spans="1:5">
      <c r="A79" s="19"/>
      <c r="B79" s="20"/>
      <c r="C79" s="20"/>
      <c r="D79" s="26"/>
      <c r="E79" s="25"/>
    </row>
    <row r="80" spans="1:5">
      <c r="A80" s="20" t="s">
        <v>382</v>
      </c>
      <c r="B80" s="20">
        <v>250025</v>
      </c>
      <c r="C80" s="20" t="s">
        <v>383</v>
      </c>
      <c r="D80" s="21">
        <v>0.5</v>
      </c>
      <c r="E80" s="22">
        <v>13.88</v>
      </c>
    </row>
    <row r="81" spans="1:5">
      <c r="A81" s="19" t="s">
        <v>7</v>
      </c>
      <c r="B81" s="20"/>
      <c r="C81" s="20"/>
      <c r="D81" s="26">
        <v>0.5</v>
      </c>
      <c r="E81" s="25">
        <v>13.88</v>
      </c>
    </row>
    <row r="82" spans="1:5">
      <c r="A82" s="19"/>
      <c r="B82" s="20"/>
      <c r="C82" s="20"/>
      <c r="D82" s="26"/>
      <c r="E82" s="25"/>
    </row>
    <row r="83" spans="1:5">
      <c r="A83" s="20" t="s">
        <v>16</v>
      </c>
      <c r="B83" s="20">
        <v>290020</v>
      </c>
      <c r="C83" s="20" t="s">
        <v>373</v>
      </c>
      <c r="D83" s="21">
        <v>3</v>
      </c>
      <c r="E83" s="22">
        <v>82.22</v>
      </c>
    </row>
    <row r="84" spans="1:5">
      <c r="A84" s="19" t="s">
        <v>7</v>
      </c>
      <c r="B84" s="19"/>
      <c r="C84" s="19"/>
      <c r="D84" s="26">
        <v>3</v>
      </c>
      <c r="E84" s="25">
        <v>82.22</v>
      </c>
    </row>
    <row r="85" spans="1:5">
      <c r="A85" s="20"/>
      <c r="B85" s="20"/>
      <c r="C85" s="20"/>
      <c r="D85" s="21"/>
      <c r="E85" s="22"/>
    </row>
    <row r="86" spans="1:5">
      <c r="A86" s="20" t="s">
        <v>142</v>
      </c>
      <c r="B86" s="20">
        <v>290051</v>
      </c>
      <c r="C86" s="20" t="s">
        <v>141</v>
      </c>
      <c r="D86" s="21">
        <v>2.13</v>
      </c>
      <c r="E86" s="22">
        <v>41.6</v>
      </c>
    </row>
    <row r="87" spans="1:5">
      <c r="A87" s="20" t="s">
        <v>144</v>
      </c>
      <c r="B87" s="20">
        <v>290051</v>
      </c>
      <c r="C87" s="20" t="s">
        <v>141</v>
      </c>
      <c r="D87" s="21">
        <v>1.88</v>
      </c>
      <c r="E87" s="22">
        <v>36.729999999999997</v>
      </c>
    </row>
    <row r="88" spans="1:5">
      <c r="A88" s="19" t="s">
        <v>7</v>
      </c>
      <c r="B88" s="20"/>
      <c r="C88" s="20"/>
      <c r="D88" s="26">
        <f>SUM(D86:D87)</f>
        <v>4.01</v>
      </c>
      <c r="E88" s="25">
        <f>SUM(E86:E87)</f>
        <v>78.33</v>
      </c>
    </row>
    <row r="89" spans="1:5">
      <c r="A89" s="19"/>
      <c r="B89" s="20"/>
      <c r="C89" s="20"/>
      <c r="D89" s="26"/>
      <c r="E89" s="25"/>
    </row>
    <row r="90" spans="1:5">
      <c r="A90" s="20" t="s">
        <v>100</v>
      </c>
      <c r="B90" s="20">
        <v>400035</v>
      </c>
      <c r="C90" s="20" t="s">
        <v>376</v>
      </c>
      <c r="D90" s="21">
        <v>0.08</v>
      </c>
      <c r="E90" s="22">
        <v>2.5</v>
      </c>
    </row>
    <row r="91" spans="1:5">
      <c r="A91" s="19" t="s">
        <v>7</v>
      </c>
      <c r="B91" s="20"/>
      <c r="C91" s="20"/>
      <c r="D91" s="26">
        <f>SUM(D90)</f>
        <v>0.08</v>
      </c>
      <c r="E91" s="25">
        <f>SUM(E90)</f>
        <v>2.5</v>
      </c>
    </row>
    <row r="92" spans="1:5">
      <c r="A92" s="19"/>
      <c r="B92" s="20"/>
      <c r="C92" s="20"/>
      <c r="D92" s="26"/>
      <c r="E92" s="25"/>
    </row>
    <row r="93" spans="1:5">
      <c r="A93" s="20" t="s">
        <v>369</v>
      </c>
      <c r="B93" s="20">
        <v>450044</v>
      </c>
      <c r="C93" s="20" t="s">
        <v>134</v>
      </c>
      <c r="D93" s="21">
        <v>0.03</v>
      </c>
      <c r="E93" s="22">
        <v>0.7</v>
      </c>
    </row>
    <row r="94" spans="1:5">
      <c r="A94" s="19" t="s">
        <v>7</v>
      </c>
      <c r="B94" s="20"/>
      <c r="C94" s="20"/>
      <c r="D94" s="26">
        <v>0.03</v>
      </c>
      <c r="E94" s="25">
        <v>0.7</v>
      </c>
    </row>
    <row r="95" spans="1:5">
      <c r="A95" s="19"/>
      <c r="B95" s="20"/>
      <c r="C95" s="20"/>
      <c r="D95" s="26"/>
      <c r="E95" s="25"/>
    </row>
    <row r="96" spans="1:5">
      <c r="A96" s="20" t="s">
        <v>346</v>
      </c>
      <c r="B96" s="20">
        <v>450046</v>
      </c>
      <c r="C96" s="20" t="s">
        <v>128</v>
      </c>
      <c r="D96" s="21">
        <v>0.47</v>
      </c>
      <c r="E96" s="22">
        <v>14</v>
      </c>
    </row>
    <row r="97" spans="1:6">
      <c r="A97" s="19" t="s">
        <v>7</v>
      </c>
      <c r="B97" s="20"/>
      <c r="C97" s="20"/>
      <c r="D97" s="26">
        <v>0.47</v>
      </c>
      <c r="E97" s="25">
        <v>14</v>
      </c>
    </row>
    <row r="98" spans="1:6">
      <c r="A98" s="20"/>
      <c r="B98" s="20"/>
      <c r="C98" s="20"/>
      <c r="D98" s="21"/>
      <c r="E98" s="22"/>
    </row>
    <row r="99" spans="1:6">
      <c r="A99" s="80" t="s">
        <v>244</v>
      </c>
      <c r="B99" s="80">
        <v>400020</v>
      </c>
      <c r="C99" s="80" t="s">
        <v>98</v>
      </c>
      <c r="D99" s="82">
        <v>12.48</v>
      </c>
      <c r="E99" s="83">
        <v>299.60000000000002</v>
      </c>
      <c r="F99" s="18" t="s">
        <v>310</v>
      </c>
    </row>
    <row r="100" spans="1:6">
      <c r="A100" s="20" t="s">
        <v>97</v>
      </c>
      <c r="B100" s="20" t="s">
        <v>181</v>
      </c>
      <c r="C100" s="20" t="s">
        <v>98</v>
      </c>
      <c r="D100" s="21">
        <v>1.85</v>
      </c>
      <c r="E100" s="22">
        <v>56.61</v>
      </c>
    </row>
    <row r="101" spans="1:6">
      <c r="A101" s="19" t="s">
        <v>7</v>
      </c>
      <c r="B101" s="20"/>
      <c r="C101" s="20"/>
      <c r="D101" s="26">
        <f>SUM(D99:D100)</f>
        <v>14.33</v>
      </c>
      <c r="E101" s="25">
        <f>SUM(E99:E100)</f>
        <v>356.21000000000004</v>
      </c>
    </row>
    <row r="102" spans="1:6">
      <c r="A102" s="19"/>
      <c r="B102" s="20"/>
      <c r="C102" s="20"/>
      <c r="D102" s="26"/>
      <c r="E102" s="25"/>
    </row>
    <row r="103" spans="1:6">
      <c r="A103" s="19" t="s">
        <v>194</v>
      </c>
      <c r="B103" s="20"/>
      <c r="C103" s="20"/>
      <c r="D103" s="26">
        <v>272.95</v>
      </c>
      <c r="E103" s="25">
        <v>6419.23</v>
      </c>
    </row>
    <row r="106" spans="1:6">
      <c r="D106" s="107">
        <f>D7+D11+D14+D19+D38+D42+D48+D51+D57+D60+D67+D70+D74+D78+D81+D84+D88+D91+D94+D97+D101</f>
        <v>272.95</v>
      </c>
      <c r="E106" s="108">
        <f>E7+E11+E14+E19+E38+E42+E48+E51+E57+E60+E67+E70+E74+E78+E81+E84+E88+E91+E94+E97+E101</f>
        <v>6433.27</v>
      </c>
    </row>
  </sheetData>
  <mergeCells count="1">
    <mergeCell ref="G4:H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101"/>
  <sheetViews>
    <sheetView workbookViewId="0">
      <selection activeCell="F12" sqref="F12"/>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13.85546875" style="18" bestFit="1" customWidth="1"/>
    <col min="7" max="7" width="14.42578125" style="18" customWidth="1"/>
    <col min="8" max="8" width="17.28515625" style="18" bestFit="1" customWidth="1"/>
    <col min="9" max="9" width="14.5703125" style="18" customWidth="1"/>
    <col min="10" max="10" width="13.42578125" style="18" customWidth="1"/>
    <col min="11" max="16384" width="9.140625" style="18"/>
  </cols>
  <sheetData>
    <row r="1" spans="1:10">
      <c r="A1" s="19" t="s">
        <v>147</v>
      </c>
      <c r="B1" s="19" t="s">
        <v>148</v>
      </c>
      <c r="C1" s="19" t="s">
        <v>149</v>
      </c>
      <c r="D1" s="19" t="s">
        <v>150</v>
      </c>
      <c r="E1" s="19" t="s">
        <v>151</v>
      </c>
      <c r="F1" s="11" t="s">
        <v>258</v>
      </c>
      <c r="G1" s="38" t="s">
        <v>259</v>
      </c>
      <c r="H1" s="88" t="s">
        <v>334</v>
      </c>
      <c r="I1" s="40" t="s">
        <v>260</v>
      </c>
      <c r="J1" s="39" t="s">
        <v>261</v>
      </c>
    </row>
    <row r="2" spans="1:10">
      <c r="A2" s="106" t="s">
        <v>20</v>
      </c>
      <c r="B2" s="106" t="s">
        <v>152</v>
      </c>
      <c r="C2" s="106" t="s">
        <v>15</v>
      </c>
      <c r="D2" s="106">
        <v>5.43</v>
      </c>
      <c r="E2" s="106">
        <v>156.97</v>
      </c>
      <c r="F2" s="31" t="s">
        <v>310</v>
      </c>
      <c r="G2" s="13">
        <f>E16+E21+E23+E26+E27+E28+E30+E31+E44+E34+E40</f>
        <v>2169.4199999999996</v>
      </c>
      <c r="H2" s="89">
        <f>E2+E4+E65+E85+E5</f>
        <v>1659.68</v>
      </c>
      <c r="I2" s="66">
        <f>E12</f>
        <v>168.08</v>
      </c>
      <c r="J2" s="16">
        <f>E71+E80+E81+E82+E89+E92+E74+E77</f>
        <v>1559.6399999999999</v>
      </c>
    </row>
    <row r="3" spans="1:10">
      <c r="A3" s="20" t="s">
        <v>366</v>
      </c>
      <c r="B3" s="23" t="s">
        <v>152</v>
      </c>
      <c r="C3" s="20" t="s">
        <v>15</v>
      </c>
      <c r="D3" s="21">
        <v>0.35</v>
      </c>
      <c r="E3" s="22">
        <v>8.93</v>
      </c>
      <c r="G3"/>
      <c r="H3"/>
    </row>
    <row r="4" spans="1:10">
      <c r="A4" s="106" t="s">
        <v>18</v>
      </c>
      <c r="B4" s="106" t="s">
        <v>152</v>
      </c>
      <c r="C4" s="106" t="s">
        <v>15</v>
      </c>
      <c r="D4" s="106">
        <v>22.1</v>
      </c>
      <c r="E4" s="106">
        <v>615.26</v>
      </c>
      <c r="F4" s="31" t="s">
        <v>310</v>
      </c>
      <c r="G4" s="305" t="s">
        <v>263</v>
      </c>
      <c r="H4" s="306"/>
      <c r="I4" s="306"/>
      <c r="J4" s="306"/>
    </row>
    <row r="5" spans="1:10">
      <c r="A5" s="106" t="s">
        <v>377</v>
      </c>
      <c r="B5" s="106" t="s">
        <v>152</v>
      </c>
      <c r="C5" s="106" t="s">
        <v>15</v>
      </c>
      <c r="D5" s="106">
        <v>17.25</v>
      </c>
      <c r="E5" s="106">
        <v>554.5</v>
      </c>
      <c r="F5" s="31" t="s">
        <v>310</v>
      </c>
      <c r="G5" s="11"/>
    </row>
    <row r="6" spans="1:10">
      <c r="A6" s="19" t="s">
        <v>7</v>
      </c>
      <c r="B6" s="20"/>
      <c r="C6" s="20"/>
      <c r="D6" s="24">
        <f>SUM(D2:D5)</f>
        <v>45.13</v>
      </c>
      <c r="E6" s="25">
        <f>SUM(E2:E5)</f>
        <v>1335.6599999999999</v>
      </c>
    </row>
    <row r="7" spans="1:10">
      <c r="A7" s="19"/>
      <c r="B7" s="20"/>
      <c r="C7" s="20"/>
      <c r="D7" s="26"/>
      <c r="E7" s="25"/>
    </row>
    <row r="8" spans="1:10">
      <c r="A8" s="20" t="s">
        <v>195</v>
      </c>
      <c r="B8" s="23" t="s">
        <v>155</v>
      </c>
      <c r="C8" s="20" t="s">
        <v>196</v>
      </c>
      <c r="D8" s="21">
        <v>0.05</v>
      </c>
      <c r="E8" s="22">
        <v>1.5</v>
      </c>
    </row>
    <row r="9" spans="1:10">
      <c r="A9" s="19" t="s">
        <v>7</v>
      </c>
      <c r="B9" s="20"/>
      <c r="C9" s="20"/>
      <c r="D9" s="26">
        <f>SUM(D8:D8)</f>
        <v>0.05</v>
      </c>
      <c r="E9" s="25">
        <f>SUM(E8:E8)</f>
        <v>1.5</v>
      </c>
    </row>
    <row r="10" spans="1:10">
      <c r="A10" s="19"/>
      <c r="B10" s="20"/>
      <c r="C10" s="20"/>
      <c r="D10" s="26"/>
      <c r="E10" s="25"/>
    </row>
    <row r="11" spans="1:10">
      <c r="A11" s="20" t="s">
        <v>384</v>
      </c>
      <c r="B11" s="23" t="s">
        <v>154</v>
      </c>
      <c r="C11" s="20" t="s">
        <v>23</v>
      </c>
      <c r="D11" s="21">
        <v>1.1299999999999999</v>
      </c>
      <c r="E11" s="22">
        <v>39.24</v>
      </c>
    </row>
    <row r="12" spans="1:10">
      <c r="A12" s="47" t="s">
        <v>209</v>
      </c>
      <c r="B12" s="48" t="s">
        <v>154</v>
      </c>
      <c r="C12" s="47" t="s">
        <v>23</v>
      </c>
      <c r="D12" s="49">
        <v>6.13</v>
      </c>
      <c r="E12" s="50">
        <v>168.08</v>
      </c>
      <c r="F12" s="31" t="s">
        <v>310</v>
      </c>
    </row>
    <row r="13" spans="1:10">
      <c r="A13" s="20" t="s">
        <v>22</v>
      </c>
      <c r="B13" s="23" t="s">
        <v>154</v>
      </c>
      <c r="C13" s="20" t="s">
        <v>23</v>
      </c>
      <c r="D13" s="21">
        <v>0.25</v>
      </c>
      <c r="E13" s="22">
        <v>7.61</v>
      </c>
    </row>
    <row r="14" spans="1:10">
      <c r="A14" s="19" t="s">
        <v>7</v>
      </c>
      <c r="B14" s="20"/>
      <c r="C14" s="20"/>
      <c r="D14" s="26">
        <f>SUM(D11:D13)</f>
        <v>7.51</v>
      </c>
      <c r="E14" s="25">
        <f>SUM(E11:E13)</f>
        <v>214.93000000000004</v>
      </c>
    </row>
    <row r="15" spans="1:10">
      <c r="A15" s="19"/>
      <c r="B15" s="20"/>
      <c r="C15" s="20"/>
      <c r="D15" s="26"/>
      <c r="E15" s="25"/>
    </row>
    <row r="16" spans="1:10">
      <c r="A16" s="27" t="s">
        <v>335</v>
      </c>
      <c r="B16" s="28" t="s">
        <v>156</v>
      </c>
      <c r="C16" s="27" t="s">
        <v>91</v>
      </c>
      <c r="D16" s="29">
        <v>6.43</v>
      </c>
      <c r="E16" s="30">
        <v>178.53</v>
      </c>
      <c r="F16" s="31" t="s">
        <v>310</v>
      </c>
    </row>
    <row r="17" spans="1:9">
      <c r="A17" s="20" t="s">
        <v>92</v>
      </c>
      <c r="B17" s="23" t="s">
        <v>156</v>
      </c>
      <c r="C17" s="20" t="s">
        <v>91</v>
      </c>
      <c r="D17" s="21">
        <v>1.1499999999999999</v>
      </c>
      <c r="E17" s="22">
        <v>30.43</v>
      </c>
      <c r="I17" s="107"/>
    </row>
    <row r="18" spans="1:9">
      <c r="A18" s="19" t="s">
        <v>7</v>
      </c>
      <c r="B18" s="20"/>
      <c r="C18" s="20"/>
      <c r="D18" s="26">
        <f>SUM(D16:D17)</f>
        <v>7.58</v>
      </c>
      <c r="E18" s="25">
        <f>SUM(E16:E17)</f>
        <v>208.96</v>
      </c>
    </row>
    <row r="19" spans="1:9">
      <c r="A19" s="20"/>
      <c r="B19" s="20"/>
      <c r="C19" s="20"/>
      <c r="D19" s="21"/>
      <c r="E19" s="22"/>
    </row>
    <row r="20" spans="1:9">
      <c r="A20" s="20" t="s">
        <v>266</v>
      </c>
      <c r="B20" s="23" t="s">
        <v>157</v>
      </c>
      <c r="C20" s="20" t="s">
        <v>66</v>
      </c>
      <c r="D20" s="21">
        <v>0.63</v>
      </c>
      <c r="E20" s="22">
        <v>12.35</v>
      </c>
    </row>
    <row r="21" spans="1:9">
      <c r="A21" s="27" t="s">
        <v>228</v>
      </c>
      <c r="B21" s="28" t="s">
        <v>157</v>
      </c>
      <c r="C21" s="27" t="s">
        <v>66</v>
      </c>
      <c r="D21" s="29">
        <v>5.4</v>
      </c>
      <c r="E21" s="30">
        <v>105.3</v>
      </c>
      <c r="F21" s="31" t="s">
        <v>310</v>
      </c>
    </row>
    <row r="22" spans="1:9" s="20" customFormat="1">
      <c r="A22" s="20" t="s">
        <v>378</v>
      </c>
      <c r="B22" s="23" t="s">
        <v>157</v>
      </c>
      <c r="C22" s="20" t="s">
        <v>66</v>
      </c>
      <c r="D22" s="21">
        <v>2.4500000000000002</v>
      </c>
      <c r="E22" s="22">
        <v>47.78</v>
      </c>
    </row>
    <row r="23" spans="1:9">
      <c r="A23" s="27" t="s">
        <v>292</v>
      </c>
      <c r="B23" s="28" t="s">
        <v>157</v>
      </c>
      <c r="C23" s="27" t="s">
        <v>66</v>
      </c>
      <c r="D23" s="27">
        <v>6.8</v>
      </c>
      <c r="E23" s="30">
        <v>132.6</v>
      </c>
      <c r="F23" s="31" t="s">
        <v>310</v>
      </c>
    </row>
    <row r="24" spans="1:9">
      <c r="A24" s="20" t="s">
        <v>385</v>
      </c>
      <c r="B24" s="23" t="s">
        <v>157</v>
      </c>
      <c r="C24" s="20" t="s">
        <v>66</v>
      </c>
      <c r="D24" s="20">
        <v>0.28000000000000003</v>
      </c>
      <c r="E24" s="22">
        <v>5.74</v>
      </c>
    </row>
    <row r="25" spans="1:9">
      <c r="A25" s="20" t="s">
        <v>215</v>
      </c>
      <c r="B25" s="23" t="s">
        <v>157</v>
      </c>
      <c r="C25" s="20" t="s">
        <v>66</v>
      </c>
      <c r="D25" s="20">
        <v>0.27</v>
      </c>
      <c r="E25" s="22">
        <v>5.2</v>
      </c>
    </row>
    <row r="26" spans="1:9">
      <c r="A26" s="27" t="s">
        <v>85</v>
      </c>
      <c r="B26" s="28" t="s">
        <v>157</v>
      </c>
      <c r="C26" s="27" t="s">
        <v>66</v>
      </c>
      <c r="D26" s="27">
        <v>5.8</v>
      </c>
      <c r="E26" s="30">
        <v>138.85</v>
      </c>
      <c r="F26" s="31" t="s">
        <v>310</v>
      </c>
    </row>
    <row r="27" spans="1:9">
      <c r="A27" s="27" t="s">
        <v>159</v>
      </c>
      <c r="B27" s="28" t="s">
        <v>157</v>
      </c>
      <c r="C27" s="27" t="s">
        <v>66</v>
      </c>
      <c r="D27" s="91">
        <v>10.119999999999999</v>
      </c>
      <c r="E27" s="30">
        <v>197.28</v>
      </c>
      <c r="F27" s="31" t="s">
        <v>310</v>
      </c>
    </row>
    <row r="28" spans="1:9">
      <c r="A28" s="27" t="s">
        <v>328</v>
      </c>
      <c r="B28" s="28" t="s">
        <v>157</v>
      </c>
      <c r="C28" s="27" t="s">
        <v>66</v>
      </c>
      <c r="D28" s="91">
        <v>6.12</v>
      </c>
      <c r="E28" s="30">
        <v>137.63</v>
      </c>
      <c r="F28" s="31" t="s">
        <v>310</v>
      </c>
    </row>
    <row r="29" spans="1:9" s="20" customFormat="1">
      <c r="A29" s="20" t="s">
        <v>386</v>
      </c>
      <c r="B29" s="23" t="s">
        <v>157</v>
      </c>
      <c r="C29" s="20" t="s">
        <v>66</v>
      </c>
      <c r="D29" s="55">
        <v>0.88</v>
      </c>
      <c r="E29" s="22">
        <v>19.88</v>
      </c>
    </row>
    <row r="30" spans="1:9">
      <c r="A30" s="27" t="s">
        <v>79</v>
      </c>
      <c r="B30" s="28" t="s">
        <v>157</v>
      </c>
      <c r="C30" s="27" t="s">
        <v>66</v>
      </c>
      <c r="D30" s="27">
        <v>4.0199999999999996</v>
      </c>
      <c r="E30" s="30">
        <v>93.39</v>
      </c>
      <c r="F30" s="31" t="s">
        <v>310</v>
      </c>
    </row>
    <row r="31" spans="1:9">
      <c r="A31" s="27" t="s">
        <v>375</v>
      </c>
      <c r="B31" s="28" t="s">
        <v>157</v>
      </c>
      <c r="C31" s="27" t="s">
        <v>66</v>
      </c>
      <c r="D31" s="27">
        <v>5.07</v>
      </c>
      <c r="E31" s="30">
        <v>98.8</v>
      </c>
      <c r="F31" s="31" t="s">
        <v>310</v>
      </c>
    </row>
    <row r="32" spans="1:9">
      <c r="A32" s="19" t="s">
        <v>7</v>
      </c>
      <c r="B32" s="20"/>
      <c r="C32" s="20"/>
      <c r="D32" s="26">
        <f>SUM(D20:D31)</f>
        <v>47.839999999999996</v>
      </c>
      <c r="E32" s="25">
        <f>SUM(E20:E31)</f>
        <v>994.79999999999984</v>
      </c>
    </row>
    <row r="33" spans="1:6">
      <c r="A33" s="19"/>
      <c r="B33" s="20"/>
      <c r="C33" s="20"/>
      <c r="D33" s="26"/>
      <c r="E33" s="25"/>
    </row>
    <row r="34" spans="1:6">
      <c r="A34" s="27" t="s">
        <v>163</v>
      </c>
      <c r="B34" s="28" t="s">
        <v>162</v>
      </c>
      <c r="C34" s="27" t="s">
        <v>51</v>
      </c>
      <c r="D34" s="29">
        <v>32.119999999999997</v>
      </c>
      <c r="E34" s="30">
        <v>770.8</v>
      </c>
      <c r="F34" s="31" t="s">
        <v>310</v>
      </c>
    </row>
    <row r="35" spans="1:6">
      <c r="A35" s="20" t="s">
        <v>7</v>
      </c>
      <c r="B35" s="23"/>
      <c r="C35" s="20"/>
      <c r="D35" s="21">
        <v>32.119999999999997</v>
      </c>
      <c r="E35" s="22">
        <v>770.8</v>
      </c>
    </row>
    <row r="36" spans="1:6">
      <c r="A36" s="19"/>
      <c r="B36" s="20"/>
      <c r="C36" s="20"/>
      <c r="D36" s="26"/>
      <c r="E36" s="25"/>
    </row>
    <row r="37" spans="1:6">
      <c r="A37" s="20" t="s">
        <v>345</v>
      </c>
      <c r="B37" s="23" t="s">
        <v>164</v>
      </c>
      <c r="C37" s="20" t="s">
        <v>60</v>
      </c>
      <c r="D37" s="21">
        <v>1.5</v>
      </c>
      <c r="E37" s="22">
        <v>31.5</v>
      </c>
    </row>
    <row r="38" spans="1:6">
      <c r="A38" s="20" t="s">
        <v>84</v>
      </c>
      <c r="B38" s="23" t="s">
        <v>164</v>
      </c>
      <c r="C38" s="20" t="s">
        <v>60</v>
      </c>
      <c r="D38" s="21">
        <v>1.03</v>
      </c>
      <c r="E38" s="22">
        <v>21.7</v>
      </c>
    </row>
    <row r="39" spans="1:6">
      <c r="A39" s="20" t="s">
        <v>64</v>
      </c>
      <c r="B39" s="23" t="s">
        <v>164</v>
      </c>
      <c r="C39" s="20" t="s">
        <v>60</v>
      </c>
      <c r="D39" s="21">
        <v>1.37</v>
      </c>
      <c r="E39" s="22">
        <v>26.65</v>
      </c>
    </row>
    <row r="40" spans="1:6" s="20" customFormat="1">
      <c r="A40" s="27" t="s">
        <v>339</v>
      </c>
      <c r="B40" s="28" t="s">
        <v>164</v>
      </c>
      <c r="C40" s="27" t="s">
        <v>60</v>
      </c>
      <c r="D40" s="29">
        <v>7.3</v>
      </c>
      <c r="E40" s="30">
        <v>167.14</v>
      </c>
      <c r="F40" s="31" t="s">
        <v>310</v>
      </c>
    </row>
    <row r="41" spans="1:6">
      <c r="A41" s="19" t="s">
        <v>7</v>
      </c>
      <c r="B41" s="20"/>
      <c r="C41" s="20"/>
      <c r="D41" s="26">
        <f>SUM(D37:D40)</f>
        <v>11.2</v>
      </c>
      <c r="E41" s="25">
        <f>SUM(E37:E40)</f>
        <v>246.98999999999998</v>
      </c>
    </row>
    <row r="42" spans="1:6">
      <c r="A42" s="19"/>
      <c r="B42" s="20"/>
      <c r="C42" s="20"/>
      <c r="D42" s="26"/>
      <c r="E42" s="25"/>
    </row>
    <row r="43" spans="1:6">
      <c r="A43" s="20" t="s">
        <v>166</v>
      </c>
      <c r="B43" s="23" t="s">
        <v>167</v>
      </c>
      <c r="C43" s="20" t="s">
        <v>54</v>
      </c>
      <c r="D43" s="21">
        <v>2.1800000000000002</v>
      </c>
      <c r="E43" s="22">
        <v>49.13</v>
      </c>
    </row>
    <row r="44" spans="1:6">
      <c r="A44" s="27" t="s">
        <v>253</v>
      </c>
      <c r="B44" s="28" t="s">
        <v>167</v>
      </c>
      <c r="C44" s="27" t="s">
        <v>54</v>
      </c>
      <c r="D44" s="29">
        <v>7.1</v>
      </c>
      <c r="E44" s="30">
        <v>149.1</v>
      </c>
      <c r="F44" s="31" t="s">
        <v>310</v>
      </c>
    </row>
    <row r="45" spans="1:6" s="20" customFormat="1">
      <c r="A45" s="20" t="s">
        <v>270</v>
      </c>
      <c r="B45" s="23" t="s">
        <v>167</v>
      </c>
      <c r="C45" s="20" t="s">
        <v>54</v>
      </c>
      <c r="D45" s="21">
        <v>3.53</v>
      </c>
      <c r="E45" s="22">
        <v>95.4</v>
      </c>
    </row>
    <row r="46" spans="1:6">
      <c r="A46" s="19" t="s">
        <v>7</v>
      </c>
      <c r="B46" s="23"/>
      <c r="C46" s="20"/>
      <c r="D46" s="26">
        <f>SUM(D43:D45)</f>
        <v>12.809999999999999</v>
      </c>
      <c r="E46" s="25">
        <f>SUM(E43:E45)</f>
        <v>293.63</v>
      </c>
    </row>
    <row r="47" spans="1:6">
      <c r="A47" s="19"/>
      <c r="B47" s="23"/>
      <c r="C47" s="20"/>
      <c r="D47" s="26"/>
      <c r="E47" s="25"/>
    </row>
    <row r="48" spans="1:6">
      <c r="A48" s="20" t="s">
        <v>367</v>
      </c>
      <c r="B48" s="23" t="s">
        <v>171</v>
      </c>
      <c r="C48" s="20" t="s">
        <v>25</v>
      </c>
      <c r="D48" s="21">
        <v>7.0000000000000007E-2</v>
      </c>
      <c r="E48" s="22">
        <v>1.7</v>
      </c>
    </row>
    <row r="49" spans="1:10">
      <c r="A49" s="20" t="s">
        <v>286</v>
      </c>
      <c r="B49" s="20" t="s">
        <v>171</v>
      </c>
      <c r="C49" s="20" t="s">
        <v>25</v>
      </c>
      <c r="D49" s="21">
        <v>0.35</v>
      </c>
      <c r="E49" s="22">
        <v>8.93</v>
      </c>
    </row>
    <row r="50" spans="1:10">
      <c r="A50" s="20" t="s">
        <v>306</v>
      </c>
      <c r="B50" s="23" t="s">
        <v>171</v>
      </c>
      <c r="C50" s="20" t="s">
        <v>25</v>
      </c>
      <c r="D50" s="21">
        <v>0.85</v>
      </c>
      <c r="E50" s="22">
        <v>22.31</v>
      </c>
    </row>
    <row r="51" spans="1:10">
      <c r="A51" s="20" t="s">
        <v>368</v>
      </c>
      <c r="B51" s="23" t="s">
        <v>171</v>
      </c>
      <c r="C51" s="20" t="s">
        <v>25</v>
      </c>
      <c r="D51" s="21">
        <v>1.43</v>
      </c>
      <c r="E51" s="22">
        <v>41.36</v>
      </c>
    </row>
    <row r="52" spans="1:10">
      <c r="A52" s="20" t="s">
        <v>387</v>
      </c>
      <c r="B52" s="23" t="s">
        <v>171</v>
      </c>
      <c r="C52" s="20" t="s">
        <v>25</v>
      </c>
      <c r="D52" s="21">
        <v>0.12</v>
      </c>
      <c r="E52" s="22">
        <v>3.15</v>
      </c>
    </row>
    <row r="53" spans="1:10">
      <c r="A53" s="19" t="s">
        <v>7</v>
      </c>
      <c r="B53" s="20"/>
      <c r="C53" s="20"/>
      <c r="D53" s="26">
        <f>SUM(D48:D52)</f>
        <v>2.8200000000000003</v>
      </c>
      <c r="E53" s="25">
        <f>SUM(E48:E52)</f>
        <v>77.45</v>
      </c>
    </row>
    <row r="54" spans="1:10">
      <c r="A54" s="19"/>
      <c r="B54" s="20"/>
      <c r="C54" s="20"/>
      <c r="D54" s="26"/>
      <c r="E54" s="25"/>
    </row>
    <row r="55" spans="1:10">
      <c r="A55" s="20" t="s">
        <v>13</v>
      </c>
      <c r="B55" s="23" t="s">
        <v>172</v>
      </c>
      <c r="C55" s="20" t="s">
        <v>348</v>
      </c>
      <c r="D55" s="21">
        <v>1.1299999999999999</v>
      </c>
      <c r="E55" s="22">
        <v>42.09</v>
      </c>
      <c r="I55" s="107"/>
      <c r="J55" s="108"/>
    </row>
    <row r="56" spans="1:10">
      <c r="A56" s="19" t="s">
        <v>7</v>
      </c>
      <c r="B56" s="20"/>
      <c r="C56" s="20"/>
      <c r="D56" s="26">
        <f>SUM(D55:D55)</f>
        <v>1.1299999999999999</v>
      </c>
      <c r="E56" s="25">
        <f>SUM(E55:E55)</f>
        <v>42.09</v>
      </c>
    </row>
    <row r="57" spans="1:10">
      <c r="A57" s="20"/>
      <c r="B57" s="20"/>
      <c r="C57" s="20"/>
      <c r="D57" s="21"/>
      <c r="E57" s="22"/>
    </row>
    <row r="58" spans="1:10">
      <c r="A58" s="20" t="s">
        <v>307</v>
      </c>
      <c r="B58" s="20">
        <v>100035</v>
      </c>
      <c r="C58" s="20" t="s">
        <v>332</v>
      </c>
      <c r="D58" s="21">
        <v>0.52</v>
      </c>
      <c r="E58" s="22">
        <v>18.91</v>
      </c>
    </row>
    <row r="59" spans="1:10">
      <c r="A59" s="20" t="s">
        <v>331</v>
      </c>
      <c r="B59" s="20">
        <v>100035</v>
      </c>
      <c r="C59" s="20" t="s">
        <v>332</v>
      </c>
      <c r="D59" s="21">
        <v>0.72</v>
      </c>
      <c r="E59" s="22">
        <v>21.5</v>
      </c>
    </row>
    <row r="60" spans="1:10">
      <c r="A60" s="19" t="s">
        <v>7</v>
      </c>
      <c r="B60" s="20"/>
      <c r="C60" s="20"/>
      <c r="D60" s="26">
        <f>SUM(D58:D59)</f>
        <v>1.24</v>
      </c>
      <c r="E60" s="25">
        <f>SUM(E58:E59)</f>
        <v>40.409999999999997</v>
      </c>
    </row>
    <row r="61" spans="1:10">
      <c r="A61" s="19"/>
      <c r="B61" s="20"/>
      <c r="C61" s="20"/>
      <c r="D61" s="21"/>
      <c r="E61" s="22"/>
    </row>
    <row r="62" spans="1:10">
      <c r="A62" s="20" t="s">
        <v>380</v>
      </c>
      <c r="B62" s="20">
        <v>100051</v>
      </c>
      <c r="C62" s="20" t="s">
        <v>34</v>
      </c>
      <c r="D62" s="21">
        <v>0.08</v>
      </c>
      <c r="E62" s="22">
        <v>1.63</v>
      </c>
    </row>
    <row r="63" spans="1:10">
      <c r="A63" s="19" t="s">
        <v>7</v>
      </c>
      <c r="B63" s="20"/>
      <c r="C63" s="20"/>
      <c r="D63" s="26">
        <f>SUM(D62:D62)</f>
        <v>0.08</v>
      </c>
      <c r="E63" s="25">
        <f>SUM(E62:E62)</f>
        <v>1.63</v>
      </c>
    </row>
    <row r="64" spans="1:10">
      <c r="A64" s="19"/>
      <c r="B64" s="20"/>
      <c r="C64" s="20"/>
      <c r="D64" s="26"/>
      <c r="E64" s="25"/>
    </row>
    <row r="65" spans="1:6">
      <c r="A65" s="106" t="s">
        <v>16</v>
      </c>
      <c r="B65" s="106">
        <v>290020</v>
      </c>
      <c r="C65" s="106" t="s">
        <v>373</v>
      </c>
      <c r="D65" s="106">
        <v>8.3800000000000008</v>
      </c>
      <c r="E65" s="106">
        <v>229.75</v>
      </c>
      <c r="F65" s="31" t="s">
        <v>310</v>
      </c>
    </row>
    <row r="66" spans="1:6">
      <c r="A66" s="19" t="s">
        <v>7</v>
      </c>
      <c r="B66" s="19"/>
      <c r="C66" s="19"/>
      <c r="D66" s="26">
        <f>SUM(D65)</f>
        <v>8.3800000000000008</v>
      </c>
      <c r="E66" s="25">
        <f>SUM(E65)</f>
        <v>229.75</v>
      </c>
    </row>
    <row r="67" spans="1:6">
      <c r="A67" s="19"/>
      <c r="B67" s="20"/>
      <c r="C67" s="20"/>
      <c r="D67" s="26"/>
      <c r="E67" s="25"/>
    </row>
    <row r="68" spans="1:6">
      <c r="A68" s="20" t="s">
        <v>100</v>
      </c>
      <c r="B68" s="20">
        <v>400035</v>
      </c>
      <c r="C68" s="20" t="s">
        <v>376</v>
      </c>
      <c r="D68" s="21">
        <v>0.78</v>
      </c>
      <c r="E68" s="22">
        <v>23.5</v>
      </c>
    </row>
    <row r="69" spans="1:6">
      <c r="A69" s="19" t="s">
        <v>7</v>
      </c>
      <c r="B69" s="20"/>
      <c r="C69" s="20"/>
      <c r="D69" s="26">
        <f>SUM(D68)</f>
        <v>0.78</v>
      </c>
      <c r="E69" s="25">
        <f>SUM(E68)</f>
        <v>23.5</v>
      </c>
    </row>
    <row r="70" spans="1:6">
      <c r="A70" s="19"/>
      <c r="B70" s="20"/>
      <c r="C70" s="20"/>
      <c r="D70" s="26"/>
      <c r="E70" s="25"/>
    </row>
    <row r="71" spans="1:6">
      <c r="A71" s="32" t="s">
        <v>369</v>
      </c>
      <c r="B71" s="32">
        <v>450044</v>
      </c>
      <c r="C71" s="32" t="s">
        <v>134</v>
      </c>
      <c r="D71" s="33">
        <v>9.1</v>
      </c>
      <c r="E71" s="34">
        <v>191.1</v>
      </c>
      <c r="F71" s="31" t="s">
        <v>310</v>
      </c>
    </row>
    <row r="72" spans="1:6">
      <c r="A72" s="19" t="s">
        <v>7</v>
      </c>
      <c r="B72" s="20"/>
      <c r="C72" s="20"/>
      <c r="D72" s="26">
        <v>9.1</v>
      </c>
      <c r="E72" s="25">
        <v>191.1</v>
      </c>
    </row>
    <row r="73" spans="1:6">
      <c r="A73" s="19"/>
      <c r="B73" s="20"/>
      <c r="C73" s="20"/>
      <c r="D73" s="26"/>
      <c r="E73" s="25"/>
    </row>
    <row r="74" spans="1:6">
      <c r="A74" s="32" t="s">
        <v>346</v>
      </c>
      <c r="B74" s="103">
        <v>450046</v>
      </c>
      <c r="C74" s="32" t="s">
        <v>128</v>
      </c>
      <c r="D74" s="33">
        <v>11.48</v>
      </c>
      <c r="E74" s="34">
        <v>344.5</v>
      </c>
      <c r="F74" s="31" t="s">
        <v>310</v>
      </c>
    </row>
    <row r="75" spans="1:6">
      <c r="A75" s="19" t="s">
        <v>7</v>
      </c>
      <c r="B75" s="20"/>
      <c r="C75" s="20"/>
      <c r="D75" s="26">
        <v>11.48</v>
      </c>
      <c r="E75" s="25">
        <v>344.5</v>
      </c>
    </row>
    <row r="76" spans="1:6">
      <c r="A76" s="19"/>
      <c r="B76" s="20"/>
      <c r="C76" s="20"/>
      <c r="D76" s="26"/>
      <c r="E76" s="25"/>
    </row>
    <row r="77" spans="1:6">
      <c r="A77" s="32" t="s">
        <v>282</v>
      </c>
      <c r="B77" s="32">
        <v>450048</v>
      </c>
      <c r="C77" s="32" t="s">
        <v>388</v>
      </c>
      <c r="D77" s="33">
        <v>5.5</v>
      </c>
      <c r="E77" s="34">
        <v>132.74</v>
      </c>
      <c r="F77" s="31" t="s">
        <v>310</v>
      </c>
    </row>
    <row r="78" spans="1:6">
      <c r="A78" s="19" t="s">
        <v>7</v>
      </c>
      <c r="B78" s="20"/>
      <c r="C78" s="20"/>
      <c r="D78" s="26">
        <v>5.5</v>
      </c>
      <c r="E78" s="25">
        <v>132.74</v>
      </c>
    </row>
    <row r="79" spans="1:6">
      <c r="A79" s="19"/>
      <c r="B79" s="20"/>
      <c r="C79" s="20"/>
      <c r="D79" s="26"/>
      <c r="E79" s="25"/>
    </row>
    <row r="80" spans="1:6">
      <c r="A80" s="32" t="s">
        <v>123</v>
      </c>
      <c r="B80" s="32">
        <v>450051</v>
      </c>
      <c r="C80" s="32" t="s">
        <v>279</v>
      </c>
      <c r="D80" s="33">
        <v>5.03</v>
      </c>
      <c r="E80" s="34">
        <v>85.32</v>
      </c>
      <c r="F80" s="31" t="s">
        <v>310</v>
      </c>
    </row>
    <row r="81" spans="1:6">
      <c r="A81" s="32" t="s">
        <v>117</v>
      </c>
      <c r="B81" s="32">
        <v>450051</v>
      </c>
      <c r="C81" s="32" t="s">
        <v>279</v>
      </c>
      <c r="D81" s="33">
        <v>15.05</v>
      </c>
      <c r="E81" s="34">
        <f>79.65+160.1</f>
        <v>239.75</v>
      </c>
      <c r="F81" s="31" t="s">
        <v>310</v>
      </c>
    </row>
    <row r="82" spans="1:6">
      <c r="A82" s="32" t="s">
        <v>122</v>
      </c>
      <c r="B82" s="32">
        <v>450051</v>
      </c>
      <c r="C82" s="32" t="s">
        <v>279</v>
      </c>
      <c r="D82" s="33">
        <v>14.97</v>
      </c>
      <c r="E82" s="34">
        <v>213.28</v>
      </c>
      <c r="F82" s="31" t="s">
        <v>310</v>
      </c>
    </row>
    <row r="83" spans="1:6">
      <c r="A83" s="19" t="s">
        <v>7</v>
      </c>
      <c r="B83" s="20"/>
      <c r="C83" s="20"/>
      <c r="D83" s="26">
        <f>SUM(D80:D82)</f>
        <v>35.050000000000004</v>
      </c>
      <c r="E83" s="25">
        <f>SUM(E80:E82)</f>
        <v>538.35</v>
      </c>
    </row>
    <row r="84" spans="1:6">
      <c r="A84" s="20"/>
      <c r="B84" s="20"/>
      <c r="C84" s="20"/>
      <c r="D84" s="21"/>
      <c r="E84" s="22"/>
    </row>
    <row r="85" spans="1:6">
      <c r="A85" s="106" t="s">
        <v>244</v>
      </c>
      <c r="B85" s="106">
        <v>400020</v>
      </c>
      <c r="C85" s="106" t="s">
        <v>98</v>
      </c>
      <c r="D85" s="106">
        <v>4.3</v>
      </c>
      <c r="E85" s="106">
        <v>103.2</v>
      </c>
      <c r="F85" s="31" t="s">
        <v>310</v>
      </c>
    </row>
    <row r="86" spans="1:6">
      <c r="A86" s="20" t="s">
        <v>97</v>
      </c>
      <c r="B86" s="20" t="s">
        <v>181</v>
      </c>
      <c r="C86" s="20" t="s">
        <v>98</v>
      </c>
      <c r="D86" s="21">
        <v>3.57</v>
      </c>
      <c r="E86" s="22">
        <v>109.14</v>
      </c>
    </row>
    <row r="87" spans="1:6">
      <c r="A87" s="19" t="s">
        <v>7</v>
      </c>
      <c r="B87" s="20"/>
      <c r="C87" s="20"/>
      <c r="D87" s="26">
        <f>SUM(D85:D86)</f>
        <v>7.8699999999999992</v>
      </c>
      <c r="E87" s="25">
        <f>SUM(E85:E86)</f>
        <v>212.34</v>
      </c>
    </row>
    <row r="88" spans="1:6">
      <c r="A88" s="19"/>
      <c r="B88" s="20"/>
      <c r="C88" s="20"/>
      <c r="D88" s="26"/>
      <c r="E88" s="25"/>
    </row>
    <row r="89" spans="1:6">
      <c r="A89" s="32" t="s">
        <v>39</v>
      </c>
      <c r="B89" s="32">
        <v>550051</v>
      </c>
      <c r="C89" s="32" t="s">
        <v>104</v>
      </c>
      <c r="D89" s="33">
        <v>7.73</v>
      </c>
      <c r="E89" s="34">
        <v>170.64</v>
      </c>
      <c r="F89" s="31" t="s">
        <v>310</v>
      </c>
    </row>
    <row r="90" spans="1:6">
      <c r="A90" s="19" t="s">
        <v>7</v>
      </c>
      <c r="B90" s="20"/>
      <c r="C90" s="20"/>
      <c r="D90" s="26">
        <v>7.73</v>
      </c>
      <c r="E90" s="25">
        <v>170.64</v>
      </c>
    </row>
    <row r="91" spans="1:6">
      <c r="A91" s="19"/>
      <c r="B91" s="20"/>
      <c r="C91" s="20"/>
      <c r="D91" s="26"/>
      <c r="E91" s="25"/>
    </row>
    <row r="92" spans="1:6">
      <c r="A92" s="32" t="s">
        <v>41</v>
      </c>
      <c r="B92" s="32">
        <v>550052</v>
      </c>
      <c r="C92" s="32" t="s">
        <v>126</v>
      </c>
      <c r="D92" s="33">
        <v>7.72</v>
      </c>
      <c r="E92" s="34">
        <v>182.31</v>
      </c>
      <c r="F92" s="31" t="s">
        <v>310</v>
      </c>
    </row>
    <row r="93" spans="1:6">
      <c r="A93" s="19" t="s">
        <v>7</v>
      </c>
      <c r="B93" s="20"/>
      <c r="C93" s="20"/>
      <c r="D93" s="26">
        <v>7.72</v>
      </c>
      <c r="E93" s="25">
        <v>182.31</v>
      </c>
    </row>
    <row r="94" spans="1:6">
      <c r="A94" s="19"/>
      <c r="B94" s="20"/>
      <c r="C94" s="20"/>
      <c r="D94" s="26"/>
      <c r="E94" s="25"/>
    </row>
    <row r="95" spans="1:6">
      <c r="A95" s="19" t="s">
        <v>194</v>
      </c>
      <c r="B95" s="20"/>
      <c r="C95" s="20"/>
      <c r="D95" s="26">
        <v>263.12</v>
      </c>
      <c r="E95" s="25">
        <v>6235.17</v>
      </c>
    </row>
    <row r="96" spans="1:6">
      <c r="A96" s="20"/>
      <c r="B96" s="20"/>
      <c r="C96" s="20"/>
      <c r="D96" s="21"/>
      <c r="E96" s="22"/>
    </row>
    <row r="97" spans="1:5">
      <c r="A97" s="19"/>
      <c r="B97" s="20"/>
      <c r="C97" s="20"/>
      <c r="D97" s="26">
        <f>D6+D9+D14+D18+D32+D35+D41+D46+D53+D56+D60+D63+D66+D69+D72+D75+D78+D83+D87+D90+D93</f>
        <v>263.12</v>
      </c>
      <c r="E97" s="25">
        <f>E6+E9+E14+E18+E32+E35+E41+E46+E53+E56+E60+E63+E66+E69+E72+E75+E78+E83+E87+E90+E93</f>
        <v>6254.0800000000008</v>
      </c>
    </row>
    <row r="98" spans="1:5">
      <c r="A98" s="20"/>
      <c r="B98" s="20"/>
      <c r="C98" s="20"/>
      <c r="D98" s="21"/>
      <c r="E98" s="22"/>
    </row>
    <row r="99" spans="1:5">
      <c r="A99" s="20"/>
      <c r="B99" s="20"/>
      <c r="C99" s="20"/>
      <c r="D99" s="21"/>
      <c r="E99" s="22"/>
    </row>
    <row r="100" spans="1:5">
      <c r="A100" s="19"/>
      <c r="B100" s="20"/>
      <c r="C100" s="20"/>
      <c r="D100" s="26"/>
      <c r="E100" s="25"/>
    </row>
    <row r="101" spans="1:5">
      <c r="A101" s="19"/>
      <c r="B101" s="20"/>
      <c r="C101" s="20"/>
      <c r="D101" s="26"/>
      <c r="E101" s="25"/>
    </row>
  </sheetData>
  <mergeCells count="1">
    <mergeCell ref="G4:J4"/>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32"/>
  <sheetViews>
    <sheetView workbookViewId="0">
      <selection activeCell="F1" sqref="F1:I4"/>
    </sheetView>
  </sheetViews>
  <sheetFormatPr defaultRowHeight="12.75"/>
  <cols>
    <col min="1" max="1" width="31.7109375" style="20" customWidth="1"/>
    <col min="2" max="2" width="22.7109375" style="20" customWidth="1"/>
    <col min="3" max="3" width="36.7109375" style="20" customWidth="1"/>
    <col min="4" max="4" width="22.7109375" style="20" customWidth="1"/>
    <col min="5" max="5" width="25.7109375" style="20" customWidth="1"/>
    <col min="6" max="6" width="13.85546875" style="20" bestFit="1" customWidth="1"/>
    <col min="7" max="7" width="21.85546875" style="20" customWidth="1"/>
    <col min="8" max="8" width="21" style="20" customWidth="1"/>
    <col min="9" max="9" width="17.42578125" style="20" customWidth="1"/>
    <col min="10" max="16384" width="9.140625" style="20"/>
  </cols>
  <sheetData>
    <row r="1" spans="1:9">
      <c r="A1" s="19" t="s">
        <v>147</v>
      </c>
      <c r="B1" s="19" t="s">
        <v>148</v>
      </c>
      <c r="C1" s="19" t="s">
        <v>149</v>
      </c>
      <c r="D1" s="19" t="s">
        <v>150</v>
      </c>
      <c r="E1" s="19" t="s">
        <v>151</v>
      </c>
      <c r="F1" s="11" t="s">
        <v>258</v>
      </c>
      <c r="G1" s="38" t="s">
        <v>259</v>
      </c>
      <c r="H1" s="88" t="s">
        <v>334</v>
      </c>
      <c r="I1" s="39" t="s">
        <v>261</v>
      </c>
    </row>
    <row r="2" spans="1:9">
      <c r="A2" s="20" t="s">
        <v>20</v>
      </c>
      <c r="B2" s="20" t="s">
        <v>152</v>
      </c>
      <c r="C2" s="20" t="s">
        <v>15</v>
      </c>
      <c r="D2" s="21">
        <v>2.58</v>
      </c>
      <c r="E2" s="22">
        <v>76.14</v>
      </c>
      <c r="G2" s="13">
        <f>E18+E22+E23+E24+E25+E26+E28+E29+E31+E32+E33+E34+E36+E37+E38+E42+E43+E46+E47+E50+E54+E55+E72+E73+E74+E75+E76+E77</f>
        <v>9018.4599999999991</v>
      </c>
      <c r="H2" s="89">
        <f>E5+E6+E104</f>
        <v>770.17000000000007</v>
      </c>
      <c r="I2" s="16">
        <f>E96+E99+E101</f>
        <v>352.71</v>
      </c>
    </row>
    <row r="3" spans="1:9">
      <c r="A3" s="20" t="s">
        <v>366</v>
      </c>
      <c r="B3" s="23" t="s">
        <v>152</v>
      </c>
      <c r="C3" s="20" t="s">
        <v>15</v>
      </c>
      <c r="D3" s="21">
        <v>0.12</v>
      </c>
      <c r="E3" s="22">
        <v>3.03</v>
      </c>
      <c r="G3"/>
      <c r="H3"/>
      <c r="I3" s="18"/>
    </row>
    <row r="4" spans="1:9">
      <c r="A4" s="20" t="s">
        <v>389</v>
      </c>
      <c r="B4" s="23" t="s">
        <v>152</v>
      </c>
      <c r="C4" s="20" t="s">
        <v>15</v>
      </c>
      <c r="D4" s="21">
        <v>0.33</v>
      </c>
      <c r="E4" s="22">
        <v>9.6199999999999992</v>
      </c>
      <c r="G4" s="305" t="s">
        <v>263</v>
      </c>
      <c r="H4" s="306"/>
      <c r="I4" s="306"/>
    </row>
    <row r="5" spans="1:9">
      <c r="A5" s="109" t="s">
        <v>18</v>
      </c>
      <c r="B5" s="109" t="s">
        <v>152</v>
      </c>
      <c r="C5" s="109" t="s">
        <v>15</v>
      </c>
      <c r="D5" s="109">
        <v>14.18</v>
      </c>
      <c r="E5" s="109">
        <v>394.86</v>
      </c>
      <c r="F5" s="31" t="s">
        <v>310</v>
      </c>
      <c r="G5" s="11"/>
      <c r="H5" s="18"/>
      <c r="I5" s="18"/>
    </row>
    <row r="6" spans="1:9">
      <c r="A6" s="109" t="s">
        <v>377</v>
      </c>
      <c r="B6" s="109" t="s">
        <v>152</v>
      </c>
      <c r="C6" s="109" t="s">
        <v>15</v>
      </c>
      <c r="D6" s="109">
        <v>6</v>
      </c>
      <c r="E6" s="109">
        <v>196.74</v>
      </c>
      <c r="F6" s="31" t="s">
        <v>310</v>
      </c>
    </row>
    <row r="7" spans="1:9">
      <c r="A7" s="19" t="s">
        <v>7</v>
      </c>
      <c r="D7" s="26">
        <f>SUM(D2:D6)</f>
        <v>23.21</v>
      </c>
      <c r="E7" s="25">
        <f>SUM(E2:E6)</f>
        <v>680.3900000000001</v>
      </c>
    </row>
    <row r="8" spans="1:9">
      <c r="A8" s="19"/>
      <c r="D8" s="24"/>
      <c r="E8" s="25"/>
    </row>
    <row r="9" spans="1:9">
      <c r="A9" s="20" t="s">
        <v>390</v>
      </c>
      <c r="B9" s="23" t="s">
        <v>217</v>
      </c>
      <c r="C9" s="20" t="s">
        <v>218</v>
      </c>
      <c r="D9" s="55">
        <v>0.43</v>
      </c>
      <c r="E9" s="22">
        <v>11.7</v>
      </c>
    </row>
    <row r="10" spans="1:9">
      <c r="A10" s="19" t="s">
        <v>7</v>
      </c>
      <c r="B10" s="19"/>
      <c r="D10" s="26">
        <f>SUM(D9)</f>
        <v>0.43</v>
      </c>
      <c r="E10" s="25">
        <f>SUM(E9)</f>
        <v>11.7</v>
      </c>
    </row>
    <row r="11" spans="1:9">
      <c r="A11" s="19"/>
      <c r="D11" s="26"/>
      <c r="E11" s="25"/>
    </row>
    <row r="12" spans="1:9">
      <c r="A12" s="20" t="s">
        <v>384</v>
      </c>
      <c r="B12" s="23" t="s">
        <v>154</v>
      </c>
      <c r="C12" s="20" t="s">
        <v>23</v>
      </c>
      <c r="D12" s="21">
        <v>0.87</v>
      </c>
      <c r="E12" s="22">
        <v>30</v>
      </c>
    </row>
    <row r="13" spans="1:9">
      <c r="A13" s="20" t="s">
        <v>209</v>
      </c>
      <c r="B13" s="23" t="s">
        <v>154</v>
      </c>
      <c r="C13" s="20" t="s">
        <v>23</v>
      </c>
      <c r="D13" s="21">
        <v>0.42</v>
      </c>
      <c r="E13" s="22">
        <v>11.76</v>
      </c>
    </row>
    <row r="14" spans="1:9">
      <c r="A14" s="20" t="s">
        <v>22</v>
      </c>
      <c r="B14" s="23" t="s">
        <v>154</v>
      </c>
      <c r="C14" s="20" t="s">
        <v>23</v>
      </c>
      <c r="D14" s="21">
        <v>0.02</v>
      </c>
      <c r="E14" s="22">
        <v>0.52</v>
      </c>
    </row>
    <row r="15" spans="1:9">
      <c r="A15" s="19" t="s">
        <v>7</v>
      </c>
      <c r="D15" s="26">
        <f>SUM(D12:D14)</f>
        <v>1.31</v>
      </c>
      <c r="E15" s="25">
        <f>SUM(E12:E14)</f>
        <v>42.28</v>
      </c>
    </row>
    <row r="16" spans="1:9">
      <c r="A16" s="19"/>
      <c r="D16" s="26"/>
      <c r="E16" s="25"/>
    </row>
    <row r="17" spans="1:6">
      <c r="A17" s="20" t="s">
        <v>14</v>
      </c>
      <c r="B17" s="23" t="s">
        <v>156</v>
      </c>
      <c r="C17" s="20" t="s">
        <v>91</v>
      </c>
      <c r="D17" s="21">
        <v>0.17</v>
      </c>
      <c r="E17" s="22">
        <v>4.59</v>
      </c>
    </row>
    <row r="18" spans="1:6">
      <c r="A18" s="27" t="s">
        <v>335</v>
      </c>
      <c r="B18" s="28" t="s">
        <v>156</v>
      </c>
      <c r="C18" s="27" t="s">
        <v>91</v>
      </c>
      <c r="D18" s="29">
        <v>4.62</v>
      </c>
      <c r="E18" s="30">
        <v>128.11000000000001</v>
      </c>
      <c r="F18" s="31" t="s">
        <v>310</v>
      </c>
    </row>
    <row r="19" spans="1:6">
      <c r="A19" s="20" t="s">
        <v>92</v>
      </c>
      <c r="B19" s="23" t="s">
        <v>156</v>
      </c>
      <c r="C19" s="20" t="s">
        <v>91</v>
      </c>
      <c r="D19" s="21">
        <v>1.77</v>
      </c>
      <c r="E19" s="22">
        <v>48.63</v>
      </c>
    </row>
    <row r="20" spans="1:6">
      <c r="A20" s="19" t="s">
        <v>7</v>
      </c>
      <c r="D20" s="26">
        <f>SUM(D17:D19)</f>
        <v>6.5600000000000005</v>
      </c>
      <c r="E20" s="25">
        <f>SUM(E17:E19)</f>
        <v>181.33</v>
      </c>
    </row>
    <row r="21" spans="1:6">
      <c r="D21" s="21"/>
      <c r="E21" s="22"/>
    </row>
    <row r="22" spans="1:6">
      <c r="A22" s="27" t="s">
        <v>203</v>
      </c>
      <c r="B22" s="28" t="s">
        <v>157</v>
      </c>
      <c r="C22" s="27" t="s">
        <v>66</v>
      </c>
      <c r="D22" s="29">
        <f>6.12+15.23</f>
        <v>21.35</v>
      </c>
      <c r="E22" s="30">
        <f>121.66+302.99</f>
        <v>424.65</v>
      </c>
      <c r="F22" s="31" t="s">
        <v>310</v>
      </c>
    </row>
    <row r="23" spans="1:6">
      <c r="A23" s="27" t="s">
        <v>319</v>
      </c>
      <c r="B23" s="28" t="s">
        <v>157</v>
      </c>
      <c r="C23" s="27" t="s">
        <v>66</v>
      </c>
      <c r="D23" s="29">
        <v>13.17</v>
      </c>
      <c r="E23" s="30">
        <v>266.63</v>
      </c>
      <c r="F23" s="31" t="s">
        <v>310</v>
      </c>
    </row>
    <row r="24" spans="1:6">
      <c r="A24" s="27" t="s">
        <v>391</v>
      </c>
      <c r="B24" s="28" t="s">
        <v>157</v>
      </c>
      <c r="C24" s="27" t="s">
        <v>66</v>
      </c>
      <c r="D24" s="29">
        <v>10.67</v>
      </c>
      <c r="E24" s="30">
        <v>208</v>
      </c>
      <c r="F24" s="31" t="s">
        <v>310</v>
      </c>
    </row>
    <row r="25" spans="1:6">
      <c r="A25" s="27" t="s">
        <v>175</v>
      </c>
      <c r="B25" s="28" t="s">
        <v>157</v>
      </c>
      <c r="C25" s="27" t="s">
        <v>66</v>
      </c>
      <c r="D25" s="29">
        <v>31.97</v>
      </c>
      <c r="E25" s="30">
        <v>642.04999999999995</v>
      </c>
      <c r="F25" s="31" t="s">
        <v>310</v>
      </c>
    </row>
    <row r="26" spans="1:6">
      <c r="A26" s="27" t="s">
        <v>228</v>
      </c>
      <c r="B26" s="28" t="s">
        <v>157</v>
      </c>
      <c r="C26" s="27" t="s">
        <v>66</v>
      </c>
      <c r="D26" s="29">
        <v>16.350000000000001</v>
      </c>
      <c r="E26" s="30">
        <v>331.09</v>
      </c>
      <c r="F26" s="31" t="s">
        <v>310</v>
      </c>
    </row>
    <row r="27" spans="1:6">
      <c r="A27" s="20" t="s">
        <v>210</v>
      </c>
      <c r="B27" s="23" t="s">
        <v>157</v>
      </c>
      <c r="C27" s="20" t="s">
        <v>66</v>
      </c>
      <c r="D27" s="21">
        <v>1.48</v>
      </c>
      <c r="E27" s="22">
        <v>33.380000000000003</v>
      </c>
    </row>
    <row r="28" spans="1:6">
      <c r="A28" s="27" t="s">
        <v>378</v>
      </c>
      <c r="B28" s="28" t="s">
        <v>157</v>
      </c>
      <c r="C28" s="27" t="s">
        <v>66</v>
      </c>
      <c r="D28" s="29">
        <v>7.77</v>
      </c>
      <c r="E28" s="30">
        <v>151.44999999999999</v>
      </c>
      <c r="F28" s="31" t="s">
        <v>310</v>
      </c>
    </row>
    <row r="29" spans="1:6">
      <c r="A29" s="27" t="s">
        <v>267</v>
      </c>
      <c r="B29" s="28" t="s">
        <v>157</v>
      </c>
      <c r="C29" s="27" t="s">
        <v>66</v>
      </c>
      <c r="D29" s="29">
        <v>5.58</v>
      </c>
      <c r="E29" s="30">
        <v>127.3</v>
      </c>
      <c r="F29" s="31" t="s">
        <v>310</v>
      </c>
    </row>
    <row r="30" spans="1:6">
      <c r="A30" s="20" t="s">
        <v>292</v>
      </c>
      <c r="B30" s="23" t="s">
        <v>157</v>
      </c>
      <c r="C30" s="20" t="s">
        <v>66</v>
      </c>
      <c r="D30" s="20">
        <v>0.42</v>
      </c>
      <c r="E30" s="22">
        <v>9.3800000000000008</v>
      </c>
    </row>
    <row r="31" spans="1:6">
      <c r="A31" s="27" t="s">
        <v>85</v>
      </c>
      <c r="B31" s="28" t="s">
        <v>157</v>
      </c>
      <c r="C31" s="27" t="s">
        <v>66</v>
      </c>
      <c r="D31" s="27">
        <v>6.33</v>
      </c>
      <c r="E31" s="30">
        <v>156.75</v>
      </c>
      <c r="F31" s="31" t="s">
        <v>310</v>
      </c>
    </row>
    <row r="32" spans="1:6">
      <c r="A32" s="27" t="s">
        <v>159</v>
      </c>
      <c r="B32" s="28" t="s">
        <v>157</v>
      </c>
      <c r="C32" s="27" t="s">
        <v>66</v>
      </c>
      <c r="D32" s="91">
        <v>13.58</v>
      </c>
      <c r="E32" s="30">
        <v>305.63</v>
      </c>
      <c r="F32" s="31" t="s">
        <v>310</v>
      </c>
    </row>
    <row r="33" spans="1:6">
      <c r="A33" s="27" t="s">
        <v>88</v>
      </c>
      <c r="B33" s="28" t="s">
        <v>157</v>
      </c>
      <c r="C33" s="27" t="s">
        <v>66</v>
      </c>
      <c r="D33" s="91">
        <v>4</v>
      </c>
      <c r="E33" s="30">
        <v>86.52</v>
      </c>
      <c r="F33" s="31" t="s">
        <v>310</v>
      </c>
    </row>
    <row r="34" spans="1:6">
      <c r="A34" s="27" t="s">
        <v>328</v>
      </c>
      <c r="B34" s="28" t="s">
        <v>157</v>
      </c>
      <c r="C34" s="27" t="s">
        <v>66</v>
      </c>
      <c r="D34" s="91">
        <v>26.54</v>
      </c>
      <c r="E34" s="30">
        <v>616.9</v>
      </c>
      <c r="F34" s="31" t="s">
        <v>310</v>
      </c>
    </row>
    <row r="35" spans="1:6">
      <c r="A35" s="20" t="s">
        <v>386</v>
      </c>
      <c r="B35" s="23" t="s">
        <v>157</v>
      </c>
      <c r="C35" s="20" t="s">
        <v>66</v>
      </c>
      <c r="D35" s="55">
        <v>1.78</v>
      </c>
      <c r="E35" s="22">
        <v>40.130000000000003</v>
      </c>
    </row>
    <row r="36" spans="1:6">
      <c r="A36" s="27" t="s">
        <v>79</v>
      </c>
      <c r="B36" s="28" t="s">
        <v>157</v>
      </c>
      <c r="C36" s="27" t="s">
        <v>66</v>
      </c>
      <c r="D36" s="27">
        <v>8.9700000000000006</v>
      </c>
      <c r="E36" s="30">
        <v>211.84</v>
      </c>
      <c r="F36" s="31" t="s">
        <v>310</v>
      </c>
    </row>
    <row r="37" spans="1:6">
      <c r="A37" s="27" t="s">
        <v>375</v>
      </c>
      <c r="B37" s="28" t="s">
        <v>157</v>
      </c>
      <c r="C37" s="27" t="s">
        <v>66</v>
      </c>
      <c r="D37" s="27">
        <v>14.25</v>
      </c>
      <c r="E37" s="30">
        <v>277.88</v>
      </c>
      <c r="F37" s="31" t="s">
        <v>310</v>
      </c>
    </row>
    <row r="38" spans="1:6">
      <c r="A38" s="27" t="s">
        <v>392</v>
      </c>
      <c r="B38" s="28" t="s">
        <v>157</v>
      </c>
      <c r="C38" s="27" t="s">
        <v>66</v>
      </c>
      <c r="D38" s="27">
        <v>4.53</v>
      </c>
      <c r="E38" s="30">
        <v>98.6</v>
      </c>
      <c r="F38" s="31" t="s">
        <v>310</v>
      </c>
    </row>
    <row r="39" spans="1:6">
      <c r="A39" s="19" t="s">
        <v>7</v>
      </c>
      <c r="D39" s="26">
        <f>SUM(D22:D38)</f>
        <v>188.73999999999998</v>
      </c>
      <c r="E39" s="25">
        <f>SUM(E22:E38)</f>
        <v>3988.1800000000007</v>
      </c>
    </row>
    <row r="40" spans="1:6">
      <c r="A40" s="19"/>
      <c r="D40" s="26"/>
      <c r="E40" s="25"/>
    </row>
    <row r="41" spans="1:6">
      <c r="A41" s="20" t="s">
        <v>73</v>
      </c>
      <c r="B41" s="23" t="s">
        <v>162</v>
      </c>
      <c r="C41" s="20" t="s">
        <v>51</v>
      </c>
      <c r="D41" s="21">
        <v>3.88</v>
      </c>
      <c r="E41" s="22">
        <v>78</v>
      </c>
    </row>
    <row r="42" spans="1:6">
      <c r="A42" s="27" t="s">
        <v>52</v>
      </c>
      <c r="B42" s="28" t="s">
        <v>162</v>
      </c>
      <c r="C42" s="27" t="s">
        <v>51</v>
      </c>
      <c r="D42" s="29">
        <v>18.7</v>
      </c>
      <c r="E42" s="30">
        <v>420.75</v>
      </c>
      <c r="F42" s="31" t="s">
        <v>310</v>
      </c>
    </row>
    <row r="43" spans="1:6">
      <c r="A43" s="27" t="s">
        <v>163</v>
      </c>
      <c r="B43" s="28" t="s">
        <v>162</v>
      </c>
      <c r="C43" s="27" t="s">
        <v>51</v>
      </c>
      <c r="D43" s="29">
        <v>5</v>
      </c>
      <c r="E43" s="30">
        <v>135</v>
      </c>
      <c r="F43" s="31" t="s">
        <v>310</v>
      </c>
    </row>
    <row r="44" spans="1:6">
      <c r="A44" s="19" t="s">
        <v>7</v>
      </c>
      <c r="B44" s="23"/>
      <c r="D44" s="26">
        <f>SUM(D41:D43)</f>
        <v>27.58</v>
      </c>
      <c r="E44" s="25">
        <f>SUM(E41:E43)</f>
        <v>633.75</v>
      </c>
    </row>
    <row r="45" spans="1:6">
      <c r="A45" s="19"/>
      <c r="D45" s="26"/>
      <c r="E45" s="25"/>
    </row>
    <row r="46" spans="1:6">
      <c r="A46" s="27" t="s">
        <v>64</v>
      </c>
      <c r="B46" s="28" t="s">
        <v>164</v>
      </c>
      <c r="C46" s="27" t="s">
        <v>60</v>
      </c>
      <c r="D46" s="29">
        <v>15.18</v>
      </c>
      <c r="E46" s="30">
        <v>304.95999999999998</v>
      </c>
      <c r="F46" s="31" t="s">
        <v>310</v>
      </c>
    </row>
    <row r="47" spans="1:6">
      <c r="A47" s="27" t="s">
        <v>339</v>
      </c>
      <c r="B47" s="28" t="s">
        <v>164</v>
      </c>
      <c r="C47" s="27" t="s">
        <v>60</v>
      </c>
      <c r="D47" s="29">
        <v>27.43</v>
      </c>
      <c r="E47" s="30">
        <v>658.4</v>
      </c>
      <c r="F47" s="31" t="s">
        <v>310</v>
      </c>
    </row>
    <row r="48" spans="1:6">
      <c r="A48" s="19" t="s">
        <v>7</v>
      </c>
      <c r="D48" s="26">
        <f>SUM(D46:D47)</f>
        <v>42.61</v>
      </c>
      <c r="E48" s="25">
        <f>SUM(E46:E47)</f>
        <v>963.3599999999999</v>
      </c>
    </row>
    <row r="49" spans="1:6">
      <c r="A49" s="19"/>
      <c r="D49" s="26"/>
      <c r="E49" s="25"/>
    </row>
    <row r="50" spans="1:6">
      <c r="A50" s="27" t="s">
        <v>372</v>
      </c>
      <c r="B50" s="28" t="s">
        <v>165</v>
      </c>
      <c r="C50" s="27" t="s">
        <v>45</v>
      </c>
      <c r="D50" s="29">
        <v>4.97</v>
      </c>
      <c r="E50" s="30">
        <v>108.03</v>
      </c>
      <c r="F50" s="31" t="s">
        <v>310</v>
      </c>
    </row>
    <row r="51" spans="1:6">
      <c r="A51" s="19" t="s">
        <v>7</v>
      </c>
      <c r="D51" s="26">
        <f>SUM(D50)</f>
        <v>4.97</v>
      </c>
      <c r="E51" s="25">
        <f>SUM(E50)</f>
        <v>108.03</v>
      </c>
    </row>
    <row r="52" spans="1:6">
      <c r="A52" s="19"/>
      <c r="D52" s="26"/>
      <c r="E52" s="25"/>
    </row>
    <row r="53" spans="1:6">
      <c r="A53" s="20" t="s">
        <v>166</v>
      </c>
      <c r="B53" s="23" t="s">
        <v>167</v>
      </c>
      <c r="C53" s="20" t="s">
        <v>54</v>
      </c>
      <c r="D53" s="21">
        <v>1.38</v>
      </c>
      <c r="E53" s="22">
        <v>32.06</v>
      </c>
    </row>
    <row r="54" spans="1:6">
      <c r="A54" s="27" t="s">
        <v>253</v>
      </c>
      <c r="B54" s="28" t="s">
        <v>167</v>
      </c>
      <c r="C54" s="27" t="s">
        <v>54</v>
      </c>
      <c r="D54" s="29">
        <v>14.93</v>
      </c>
      <c r="E54" s="30">
        <v>336</v>
      </c>
      <c r="F54" s="31" t="s">
        <v>310</v>
      </c>
    </row>
    <row r="55" spans="1:6">
      <c r="A55" s="27" t="s">
        <v>270</v>
      </c>
      <c r="B55" s="28" t="s">
        <v>167</v>
      </c>
      <c r="C55" s="27" t="s">
        <v>54</v>
      </c>
      <c r="D55" s="29">
        <v>7.18</v>
      </c>
      <c r="E55" s="30">
        <v>193.95</v>
      </c>
      <c r="F55" s="31" t="s">
        <v>310</v>
      </c>
    </row>
    <row r="56" spans="1:6">
      <c r="A56" s="20" t="s">
        <v>393</v>
      </c>
      <c r="B56" s="23" t="s">
        <v>167</v>
      </c>
      <c r="C56" s="20" t="s">
        <v>54</v>
      </c>
      <c r="D56" s="21">
        <v>0.55000000000000004</v>
      </c>
      <c r="E56" s="22">
        <v>11.55</v>
      </c>
    </row>
    <row r="57" spans="1:6">
      <c r="A57" s="19" t="s">
        <v>7</v>
      </c>
      <c r="B57" s="23"/>
      <c r="D57" s="26">
        <f>SUM(D53:D56)</f>
        <v>24.04</v>
      </c>
      <c r="E57" s="25">
        <f>SUM(E53:E56)</f>
        <v>573.55999999999995</v>
      </c>
    </row>
    <row r="58" spans="1:6">
      <c r="A58" s="19"/>
      <c r="B58" s="23"/>
      <c r="D58" s="26"/>
      <c r="E58" s="25"/>
    </row>
    <row r="59" spans="1:6">
      <c r="A59" s="20" t="s">
        <v>286</v>
      </c>
      <c r="B59" s="20" t="s">
        <v>171</v>
      </c>
      <c r="C59" s="20" t="s">
        <v>25</v>
      </c>
      <c r="D59" s="21">
        <v>0.02</v>
      </c>
      <c r="E59" s="22">
        <v>0.46</v>
      </c>
    </row>
    <row r="60" spans="1:6">
      <c r="A60" s="20" t="s">
        <v>306</v>
      </c>
      <c r="B60" s="23" t="s">
        <v>171</v>
      </c>
      <c r="C60" s="20" t="s">
        <v>25</v>
      </c>
      <c r="D60" s="21">
        <v>0.38</v>
      </c>
      <c r="E60" s="22">
        <v>10.49</v>
      </c>
    </row>
    <row r="61" spans="1:6">
      <c r="A61" s="20" t="s">
        <v>368</v>
      </c>
      <c r="B61" s="23" t="s">
        <v>171</v>
      </c>
      <c r="C61" s="20" t="s">
        <v>25</v>
      </c>
      <c r="D61" s="21">
        <v>0.68</v>
      </c>
      <c r="E61" s="22">
        <v>19.989999999999998</v>
      </c>
    </row>
    <row r="62" spans="1:6">
      <c r="A62" s="19" t="s">
        <v>7</v>
      </c>
      <c r="D62" s="26">
        <f>SUM(D59:D61)</f>
        <v>1.08</v>
      </c>
      <c r="E62" s="25">
        <f>SUM(E59:E61)</f>
        <v>30.939999999999998</v>
      </c>
    </row>
    <row r="63" spans="1:6">
      <c r="A63" s="19"/>
      <c r="D63" s="26"/>
      <c r="E63" s="25"/>
    </row>
    <row r="64" spans="1:6">
      <c r="A64" s="20" t="s">
        <v>394</v>
      </c>
      <c r="B64" s="23" t="s">
        <v>172</v>
      </c>
      <c r="C64" s="20" t="s">
        <v>348</v>
      </c>
      <c r="D64" s="21">
        <v>0.63</v>
      </c>
      <c r="E64" s="22">
        <v>22.15</v>
      </c>
    </row>
    <row r="65" spans="1:6">
      <c r="A65" s="20" t="s">
        <v>13</v>
      </c>
      <c r="B65" s="23" t="s">
        <v>172</v>
      </c>
      <c r="C65" s="20" t="s">
        <v>348</v>
      </c>
      <c r="D65" s="21">
        <v>0.18</v>
      </c>
      <c r="E65" s="22">
        <v>6.95</v>
      </c>
    </row>
    <row r="66" spans="1:6">
      <c r="A66" s="19" t="s">
        <v>7</v>
      </c>
      <c r="D66" s="26">
        <f>SUM(D64:D65)</f>
        <v>0.81</v>
      </c>
      <c r="E66" s="25">
        <f>SUM(E64:E65)</f>
        <v>29.099999999999998</v>
      </c>
    </row>
    <row r="67" spans="1:6">
      <c r="D67" s="21"/>
      <c r="E67" s="22"/>
    </row>
    <row r="68" spans="1:6">
      <c r="A68" s="20" t="s">
        <v>307</v>
      </c>
      <c r="B68" s="20">
        <v>100035</v>
      </c>
      <c r="C68" s="20" t="s">
        <v>332</v>
      </c>
      <c r="D68" s="21">
        <v>1.42</v>
      </c>
      <c r="E68" s="22">
        <v>53.27</v>
      </c>
    </row>
    <row r="69" spans="1:6">
      <c r="A69" s="20" t="s">
        <v>331</v>
      </c>
      <c r="B69" s="20">
        <v>100035</v>
      </c>
      <c r="C69" s="20" t="s">
        <v>332</v>
      </c>
      <c r="D69" s="21">
        <v>0.9</v>
      </c>
      <c r="E69" s="22">
        <v>27.54</v>
      </c>
    </row>
    <row r="70" spans="1:6">
      <c r="A70" s="19" t="s">
        <v>7</v>
      </c>
      <c r="D70" s="26">
        <f>SUM(D68:D69)</f>
        <v>2.3199999999999998</v>
      </c>
      <c r="E70" s="25">
        <f>SUM(E68:E69)</f>
        <v>80.81</v>
      </c>
    </row>
    <row r="71" spans="1:6">
      <c r="A71" s="19"/>
      <c r="D71" s="21"/>
      <c r="E71" s="22"/>
    </row>
    <row r="72" spans="1:6">
      <c r="A72" s="27" t="s">
        <v>395</v>
      </c>
      <c r="B72" s="27">
        <v>100051</v>
      </c>
      <c r="C72" s="27" t="s">
        <v>34</v>
      </c>
      <c r="D72" s="29">
        <v>28.47</v>
      </c>
      <c r="E72" s="30">
        <v>571.75</v>
      </c>
      <c r="F72" s="31" t="s">
        <v>310</v>
      </c>
    </row>
    <row r="73" spans="1:6">
      <c r="A73" s="27" t="s">
        <v>211</v>
      </c>
      <c r="B73" s="27">
        <v>100051</v>
      </c>
      <c r="C73" s="27" t="s">
        <v>34</v>
      </c>
      <c r="D73" s="29">
        <v>32</v>
      </c>
      <c r="E73" s="30">
        <v>642.72</v>
      </c>
      <c r="F73" s="31" t="s">
        <v>310</v>
      </c>
    </row>
    <row r="74" spans="1:6">
      <c r="A74" s="27" t="s">
        <v>380</v>
      </c>
      <c r="B74" s="27">
        <v>100051</v>
      </c>
      <c r="C74" s="27" t="s">
        <v>34</v>
      </c>
      <c r="D74" s="29">
        <v>29</v>
      </c>
      <c r="E74" s="30">
        <v>565.5</v>
      </c>
      <c r="F74" s="31" t="s">
        <v>310</v>
      </c>
    </row>
    <row r="75" spans="1:6">
      <c r="A75" s="27" t="s">
        <v>37</v>
      </c>
      <c r="B75" s="27">
        <v>100051</v>
      </c>
      <c r="C75" s="27" t="s">
        <v>34</v>
      </c>
      <c r="D75" s="29">
        <v>34</v>
      </c>
      <c r="E75" s="30">
        <v>765</v>
      </c>
      <c r="F75" s="31" t="s">
        <v>310</v>
      </c>
    </row>
    <row r="76" spans="1:6">
      <c r="A76" s="27" t="s">
        <v>274</v>
      </c>
      <c r="B76" s="27">
        <v>100051</v>
      </c>
      <c r="C76" s="27" t="s">
        <v>34</v>
      </c>
      <c r="D76" s="29">
        <v>4</v>
      </c>
      <c r="E76" s="30">
        <v>85.5</v>
      </c>
      <c r="F76" s="31" t="s">
        <v>310</v>
      </c>
    </row>
    <row r="77" spans="1:6">
      <c r="A77" s="27" t="s">
        <v>341</v>
      </c>
      <c r="B77" s="27">
        <v>100051</v>
      </c>
      <c r="C77" s="27" t="s">
        <v>34</v>
      </c>
      <c r="D77" s="29">
        <v>9.83</v>
      </c>
      <c r="E77" s="30">
        <v>197.5</v>
      </c>
      <c r="F77" s="31" t="s">
        <v>310</v>
      </c>
    </row>
    <row r="78" spans="1:6">
      <c r="A78" s="19" t="s">
        <v>7</v>
      </c>
      <c r="D78" s="26">
        <f>SUM(D72:D77)</f>
        <v>137.30000000000001</v>
      </c>
      <c r="E78" s="25">
        <f>SUM(E72:E77)</f>
        <v>2827.9700000000003</v>
      </c>
    </row>
    <row r="79" spans="1:6">
      <c r="A79" s="19"/>
      <c r="D79" s="26"/>
      <c r="E79" s="25"/>
    </row>
    <row r="80" spans="1:6">
      <c r="A80" s="20" t="s">
        <v>276</v>
      </c>
      <c r="B80" s="20">
        <v>290051</v>
      </c>
      <c r="C80" s="20" t="s">
        <v>396</v>
      </c>
      <c r="D80" s="21">
        <v>3.17</v>
      </c>
      <c r="E80" s="22">
        <v>63.6</v>
      </c>
    </row>
    <row r="81" spans="1:6">
      <c r="A81" s="20" t="s">
        <v>144</v>
      </c>
      <c r="B81" s="20">
        <v>290051</v>
      </c>
      <c r="C81" s="20" t="s">
        <v>396</v>
      </c>
      <c r="D81" s="21">
        <f>2.93+0.25</f>
        <v>3.18</v>
      </c>
      <c r="E81" s="22">
        <f>58.92+5.02</f>
        <v>63.94</v>
      </c>
    </row>
    <row r="82" spans="1:6">
      <c r="D82" s="26">
        <f>SUM(D80:D81)</f>
        <v>6.35</v>
      </c>
      <c r="E82" s="25">
        <f>SUM(E80:E81)</f>
        <v>127.53999999999999</v>
      </c>
    </row>
    <row r="83" spans="1:6">
      <c r="A83" s="19"/>
      <c r="D83" s="26"/>
      <c r="E83" s="25"/>
    </row>
    <row r="84" spans="1:6">
      <c r="A84" s="20" t="s">
        <v>16</v>
      </c>
      <c r="B84" s="20">
        <v>290020</v>
      </c>
      <c r="C84" s="20" t="s">
        <v>373</v>
      </c>
      <c r="D84" s="21">
        <v>3.93</v>
      </c>
      <c r="E84" s="22">
        <v>109.98</v>
      </c>
    </row>
    <row r="85" spans="1:6">
      <c r="A85" s="19" t="s">
        <v>7</v>
      </c>
      <c r="B85" s="19"/>
      <c r="C85" s="19"/>
      <c r="D85" s="26">
        <f>SUM(D84)</f>
        <v>3.93</v>
      </c>
      <c r="E85" s="25">
        <f>SUM(E84)</f>
        <v>109.98</v>
      </c>
    </row>
    <row r="86" spans="1:6">
      <c r="A86" s="19"/>
      <c r="D86" s="26"/>
      <c r="E86" s="25"/>
    </row>
    <row r="87" spans="1:6">
      <c r="A87" s="20" t="s">
        <v>100</v>
      </c>
      <c r="B87" s="20">
        <v>400035</v>
      </c>
      <c r="C87" s="20" t="s">
        <v>376</v>
      </c>
      <c r="D87" s="21">
        <v>1.65</v>
      </c>
      <c r="E87" s="22">
        <v>50.99</v>
      </c>
    </row>
    <row r="88" spans="1:6">
      <c r="A88" s="19" t="s">
        <v>7</v>
      </c>
      <c r="D88" s="26">
        <f>SUM(D87)</f>
        <v>1.65</v>
      </c>
      <c r="E88" s="25">
        <f>SUM(E87)</f>
        <v>50.99</v>
      </c>
    </row>
    <row r="89" spans="1:6">
      <c r="A89" s="19"/>
      <c r="D89" s="26"/>
      <c r="E89" s="25"/>
    </row>
    <row r="90" spans="1:6">
      <c r="A90" s="20" t="s">
        <v>369</v>
      </c>
      <c r="B90" s="20">
        <v>450044</v>
      </c>
      <c r="C90" s="20" t="s">
        <v>134</v>
      </c>
      <c r="D90" s="21">
        <v>2.78</v>
      </c>
      <c r="E90" s="22">
        <v>60.33</v>
      </c>
    </row>
    <row r="91" spans="1:6">
      <c r="A91" s="19" t="s">
        <v>7</v>
      </c>
      <c r="D91" s="26">
        <f>SUM(D90)</f>
        <v>2.78</v>
      </c>
      <c r="E91" s="25">
        <f>SUM(E90)</f>
        <v>60.33</v>
      </c>
    </row>
    <row r="92" spans="1:6">
      <c r="A92" s="19"/>
      <c r="D92" s="26"/>
      <c r="E92" s="25"/>
    </row>
    <row r="93" spans="1:6">
      <c r="A93" s="20" t="s">
        <v>346</v>
      </c>
      <c r="B93" s="23">
        <v>450046</v>
      </c>
      <c r="C93" s="20" t="s">
        <v>128</v>
      </c>
      <c r="D93" s="21">
        <v>0.25</v>
      </c>
      <c r="E93" s="22">
        <v>7.5</v>
      </c>
    </row>
    <row r="94" spans="1:6">
      <c r="A94" s="19" t="s">
        <v>7</v>
      </c>
      <c r="D94" s="26">
        <f>SUM(D93)</f>
        <v>0.25</v>
      </c>
      <c r="E94" s="25">
        <f>SUM(E93)</f>
        <v>7.5</v>
      </c>
    </row>
    <row r="95" spans="1:6">
      <c r="A95" s="19"/>
      <c r="D95" s="26"/>
      <c r="E95" s="25"/>
    </row>
    <row r="96" spans="1:6">
      <c r="A96" s="32" t="s">
        <v>282</v>
      </c>
      <c r="B96" s="32">
        <v>450048</v>
      </c>
      <c r="C96" s="32" t="s">
        <v>388</v>
      </c>
      <c r="D96" s="33">
        <v>5.43</v>
      </c>
      <c r="E96" s="34">
        <v>135.44999999999999</v>
      </c>
      <c r="F96" s="31" t="s">
        <v>310</v>
      </c>
    </row>
    <row r="97" spans="1:6">
      <c r="A97" s="19" t="s">
        <v>7</v>
      </c>
      <c r="D97" s="26">
        <f>SUM(D96)</f>
        <v>5.43</v>
      </c>
      <c r="E97" s="25">
        <f>SUM(E96)</f>
        <v>135.44999999999999</v>
      </c>
    </row>
    <row r="98" spans="1:6">
      <c r="A98" s="19"/>
      <c r="D98" s="26"/>
      <c r="E98" s="25"/>
    </row>
    <row r="99" spans="1:6">
      <c r="A99" s="32" t="s">
        <v>119</v>
      </c>
      <c r="B99" s="32">
        <v>450051</v>
      </c>
      <c r="C99" s="32" t="s">
        <v>279</v>
      </c>
      <c r="D99" s="33">
        <v>7.05</v>
      </c>
      <c r="E99" s="34">
        <v>123.2</v>
      </c>
      <c r="F99" s="31" t="s">
        <v>310</v>
      </c>
    </row>
    <row r="100" spans="1:6">
      <c r="A100" s="20" t="s">
        <v>122</v>
      </c>
      <c r="B100" s="20">
        <v>450051</v>
      </c>
      <c r="C100" s="20" t="s">
        <v>279</v>
      </c>
      <c r="D100" s="21">
        <v>1.27</v>
      </c>
      <c r="E100" s="22">
        <v>19</v>
      </c>
    </row>
    <row r="101" spans="1:6">
      <c r="A101" s="32" t="s">
        <v>111</v>
      </c>
      <c r="B101" s="32">
        <v>450051</v>
      </c>
      <c r="C101" s="32" t="s">
        <v>279</v>
      </c>
      <c r="D101" s="33">
        <v>6.1</v>
      </c>
      <c r="E101" s="34">
        <v>94.06</v>
      </c>
      <c r="F101" s="31" t="s">
        <v>310</v>
      </c>
    </row>
    <row r="102" spans="1:6">
      <c r="A102" s="19" t="s">
        <v>7</v>
      </c>
      <c r="D102" s="26">
        <f>SUM(D99:D101)</f>
        <v>14.42</v>
      </c>
      <c r="E102" s="25">
        <f>SUM(E99:E101)</f>
        <v>236.26</v>
      </c>
    </row>
    <row r="103" spans="1:6">
      <c r="D103" s="21"/>
      <c r="E103" s="22"/>
    </row>
    <row r="104" spans="1:6">
      <c r="A104" s="109" t="s">
        <v>244</v>
      </c>
      <c r="B104" s="109">
        <v>400020</v>
      </c>
      <c r="C104" s="109" t="s">
        <v>98</v>
      </c>
      <c r="D104" s="109">
        <v>7.37</v>
      </c>
      <c r="E104" s="109">
        <v>178.57</v>
      </c>
      <c r="F104" s="31" t="s">
        <v>310</v>
      </c>
    </row>
    <row r="105" spans="1:6">
      <c r="A105" s="20" t="s">
        <v>97</v>
      </c>
      <c r="B105" s="20" t="s">
        <v>181</v>
      </c>
      <c r="C105" s="20" t="s">
        <v>98</v>
      </c>
      <c r="D105" s="21">
        <v>2.12</v>
      </c>
      <c r="E105" s="22">
        <v>66.069999999999993</v>
      </c>
    </row>
    <row r="106" spans="1:6">
      <c r="A106" s="19" t="s">
        <v>7</v>
      </c>
      <c r="D106" s="26">
        <f>SUM(D104:D105)</f>
        <v>9.49</v>
      </c>
      <c r="E106" s="25">
        <f>SUM(E104:E105)</f>
        <v>244.64</v>
      </c>
    </row>
    <row r="107" spans="1:6">
      <c r="A107" s="19"/>
      <c r="D107" s="26"/>
      <c r="E107" s="25"/>
    </row>
    <row r="108" spans="1:6">
      <c r="A108" s="20" t="s">
        <v>39</v>
      </c>
      <c r="B108" s="20">
        <v>550051</v>
      </c>
      <c r="C108" s="20" t="s">
        <v>104</v>
      </c>
      <c r="D108" s="21">
        <v>1.78</v>
      </c>
      <c r="E108" s="22">
        <v>40.130000000000003</v>
      </c>
    </row>
    <row r="109" spans="1:6">
      <c r="A109" s="19" t="s">
        <v>7</v>
      </c>
      <c r="D109" s="26">
        <f>SUM(D108)</f>
        <v>1.78</v>
      </c>
      <c r="E109" s="25">
        <f>SUM(E108)</f>
        <v>40.130000000000003</v>
      </c>
    </row>
    <row r="110" spans="1:6">
      <c r="A110" s="19"/>
      <c r="D110" s="26"/>
      <c r="E110" s="25"/>
    </row>
    <row r="111" spans="1:6">
      <c r="A111" s="20" t="s">
        <v>41</v>
      </c>
      <c r="B111" s="20">
        <v>550052</v>
      </c>
      <c r="C111" s="20" t="s">
        <v>126</v>
      </c>
      <c r="D111" s="21">
        <v>3.1</v>
      </c>
      <c r="E111" s="22">
        <v>74.400000000000006</v>
      </c>
    </row>
    <row r="112" spans="1:6">
      <c r="A112" s="19" t="s">
        <v>7</v>
      </c>
      <c r="D112" s="26">
        <f>SUM(D111)</f>
        <v>3.1</v>
      </c>
      <c r="E112" s="25">
        <f>SUM(E111)</f>
        <v>74.400000000000006</v>
      </c>
    </row>
    <row r="113" spans="1:5">
      <c r="A113" s="19"/>
      <c r="D113" s="26"/>
      <c r="E113" s="25"/>
    </row>
    <row r="114" spans="1:5">
      <c r="A114" s="19" t="s">
        <v>194</v>
      </c>
      <c r="D114" s="26">
        <v>510.14</v>
      </c>
      <c r="E114" s="25">
        <f>E112+E109+E106+E102+E97+E94+E91+E88+E85+E82+E78+E70+E66+E62+E57+E51+E48+E44+E39+E20+E15+E10+E7</f>
        <v>11238.62</v>
      </c>
    </row>
    <row r="115" spans="1:5">
      <c r="D115" s="21"/>
      <c r="E115" s="22"/>
    </row>
    <row r="116" spans="1:5">
      <c r="A116" s="19"/>
      <c r="D116" s="26"/>
      <c r="E116" s="25"/>
    </row>
    <row r="117" spans="1:5">
      <c r="D117" s="21"/>
      <c r="E117" s="22"/>
    </row>
    <row r="118" spans="1:5">
      <c r="D118" s="21"/>
      <c r="E118" s="22"/>
    </row>
    <row r="119" spans="1:5">
      <c r="A119" s="19"/>
      <c r="D119" s="26"/>
      <c r="E119" s="25"/>
    </row>
    <row r="120" spans="1:5">
      <c r="A120" s="19"/>
      <c r="D120" s="26"/>
      <c r="E120" s="25"/>
    </row>
    <row r="121" spans="1:5">
      <c r="D121" s="21"/>
      <c r="E121" s="22"/>
    </row>
    <row r="122" spans="1:5">
      <c r="A122" s="19"/>
      <c r="D122" s="26"/>
      <c r="E122" s="25"/>
    </row>
    <row r="123" spans="1:5">
      <c r="A123" s="19"/>
      <c r="D123" s="26"/>
      <c r="E123" s="25"/>
    </row>
    <row r="124" spans="1:5">
      <c r="D124" s="21"/>
      <c r="E124" s="22"/>
    </row>
    <row r="125" spans="1:5">
      <c r="A125" s="19"/>
      <c r="D125" s="26"/>
      <c r="E125" s="25"/>
    </row>
    <row r="126" spans="1:5">
      <c r="A126" s="19"/>
      <c r="D126" s="26"/>
      <c r="E126" s="25"/>
    </row>
    <row r="127" spans="1:5">
      <c r="D127" s="21"/>
      <c r="E127" s="22"/>
    </row>
    <row r="128" spans="1:5">
      <c r="D128" s="21"/>
      <c r="E128" s="22"/>
    </row>
    <row r="129" spans="1:5">
      <c r="A129" s="19"/>
      <c r="D129" s="26"/>
      <c r="E129" s="25"/>
    </row>
    <row r="130" spans="1:5">
      <c r="A130" s="19"/>
      <c r="D130" s="21"/>
      <c r="E130" s="22"/>
    </row>
    <row r="131" spans="1:5">
      <c r="A131" s="19"/>
      <c r="D131" s="26"/>
      <c r="E131" s="26"/>
    </row>
    <row r="132" spans="1:5">
      <c r="D132" s="26"/>
      <c r="E132" s="25"/>
    </row>
  </sheetData>
  <mergeCells count="1">
    <mergeCell ref="G4:I4"/>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24"/>
  <sheetViews>
    <sheetView topLeftCell="A58" workbookViewId="0">
      <selection activeCell="F1" sqref="F1:J4"/>
    </sheetView>
  </sheetViews>
  <sheetFormatPr defaultRowHeight="12.75"/>
  <cols>
    <col min="1" max="1" width="20.28515625" style="20" bestFit="1" customWidth="1"/>
    <col min="2" max="2" width="23.140625" style="20" bestFit="1" customWidth="1"/>
    <col min="3" max="3" width="28.7109375" style="20" bestFit="1" customWidth="1"/>
    <col min="4" max="4" width="20.42578125" style="20" bestFit="1" customWidth="1"/>
    <col min="5" max="5" width="23.28515625" style="20" bestFit="1" customWidth="1"/>
    <col min="6" max="6" width="13.85546875" bestFit="1" customWidth="1"/>
    <col min="7" max="7" width="18.5703125" customWidth="1"/>
    <col min="8" max="9" width="19.42578125" customWidth="1"/>
    <col min="10" max="10" width="19.5703125" customWidth="1"/>
  </cols>
  <sheetData>
    <row r="1" spans="1:10">
      <c r="A1" s="19" t="s">
        <v>147</v>
      </c>
      <c r="B1" s="19" t="s">
        <v>148</v>
      </c>
      <c r="C1" s="19" t="s">
        <v>149</v>
      </c>
      <c r="D1" s="19" t="s">
        <v>150</v>
      </c>
      <c r="E1" s="19" t="s">
        <v>151</v>
      </c>
      <c r="F1" s="11" t="s">
        <v>258</v>
      </c>
      <c r="G1" s="38" t="s">
        <v>259</v>
      </c>
      <c r="H1" s="88" t="s">
        <v>334</v>
      </c>
      <c r="I1" s="40" t="s">
        <v>260</v>
      </c>
      <c r="J1" s="39" t="s">
        <v>261</v>
      </c>
    </row>
    <row r="2" spans="1:10">
      <c r="A2" s="20" t="s">
        <v>20</v>
      </c>
      <c r="B2" s="20" t="s">
        <v>152</v>
      </c>
      <c r="C2" s="20" t="s">
        <v>15</v>
      </c>
      <c r="D2" s="21">
        <v>2.4</v>
      </c>
      <c r="E2" s="22">
        <v>70.739999999999995</v>
      </c>
      <c r="F2" s="20"/>
      <c r="G2" s="13">
        <f>E21+E23+E26+E27+E28+E29+E30+E32+E31+E33+E34+E35+E36+E37+E39+E41+E44+E51+E52+E53</f>
        <v>6512.8600000000006</v>
      </c>
      <c r="H2" s="89">
        <f>E5+E6</f>
        <v>551.57000000000005</v>
      </c>
      <c r="I2" s="66">
        <f>E13+E65</f>
        <v>306.03999999999996</v>
      </c>
      <c r="J2" s="16">
        <f>E78+E84+E87+E100+E103</f>
        <v>3116.3</v>
      </c>
    </row>
    <row r="3" spans="1:10">
      <c r="A3" s="20" t="s">
        <v>366</v>
      </c>
      <c r="B3" s="23" t="s">
        <v>152</v>
      </c>
      <c r="C3" s="20" t="s">
        <v>15</v>
      </c>
      <c r="D3" s="21">
        <v>0.25</v>
      </c>
      <c r="E3" s="22">
        <v>6.5</v>
      </c>
      <c r="F3" s="20"/>
      <c r="J3" s="18"/>
    </row>
    <row r="4" spans="1:10">
      <c r="A4" s="20" t="s">
        <v>389</v>
      </c>
      <c r="B4" s="23" t="s">
        <v>152</v>
      </c>
      <c r="C4" s="20" t="s">
        <v>15</v>
      </c>
      <c r="D4" s="21">
        <v>0.38</v>
      </c>
      <c r="E4" s="22">
        <v>11.06</v>
      </c>
      <c r="F4" s="20"/>
      <c r="G4" s="305" t="s">
        <v>263</v>
      </c>
      <c r="H4" s="306"/>
      <c r="I4" s="306"/>
      <c r="J4" s="306"/>
    </row>
    <row r="5" spans="1:10">
      <c r="A5" s="106" t="s">
        <v>18</v>
      </c>
      <c r="B5" s="106" t="s">
        <v>152</v>
      </c>
      <c r="C5" s="106" t="s">
        <v>15</v>
      </c>
      <c r="D5" s="106">
        <v>11.78</v>
      </c>
      <c r="E5" s="106">
        <v>328.05</v>
      </c>
      <c r="F5" s="31" t="s">
        <v>310</v>
      </c>
    </row>
    <row r="6" spans="1:10">
      <c r="A6" s="106" t="s">
        <v>377</v>
      </c>
      <c r="B6" s="106" t="s">
        <v>152</v>
      </c>
      <c r="C6" s="106" t="s">
        <v>15</v>
      </c>
      <c r="D6" s="106">
        <v>6.82</v>
      </c>
      <c r="E6" s="106">
        <v>223.52</v>
      </c>
      <c r="F6" s="31" t="s">
        <v>310</v>
      </c>
    </row>
    <row r="7" spans="1:10">
      <c r="A7" s="20" t="s">
        <v>397</v>
      </c>
      <c r="B7" s="23" t="s">
        <v>152</v>
      </c>
      <c r="C7" s="20" t="s">
        <v>15</v>
      </c>
      <c r="D7" s="21">
        <v>0.8</v>
      </c>
      <c r="E7" s="22">
        <v>24.8</v>
      </c>
    </row>
    <row r="8" spans="1:10">
      <c r="A8" s="19" t="s">
        <v>7</v>
      </c>
      <c r="D8" s="26">
        <f>SUM(D2:D7)</f>
        <v>22.43</v>
      </c>
      <c r="E8" s="25">
        <f>SUM(E2:E7)</f>
        <v>664.67</v>
      </c>
    </row>
    <row r="9" spans="1:10">
      <c r="A9" s="19"/>
      <c r="D9" s="24"/>
      <c r="E9" s="25"/>
    </row>
    <row r="10" spans="1:10">
      <c r="A10" s="20" t="s">
        <v>390</v>
      </c>
      <c r="B10" s="23" t="s">
        <v>217</v>
      </c>
      <c r="C10" s="20" t="s">
        <v>218</v>
      </c>
      <c r="D10" s="55">
        <v>1.38</v>
      </c>
      <c r="E10" s="22">
        <v>37.35</v>
      </c>
    </row>
    <row r="11" spans="1:10">
      <c r="A11" s="19" t="s">
        <v>7</v>
      </c>
      <c r="B11" s="19"/>
      <c r="D11" s="26">
        <f>SUM(D10)</f>
        <v>1.38</v>
      </c>
      <c r="E11" s="25">
        <f>SUM(E10)</f>
        <v>37.35</v>
      </c>
    </row>
    <row r="12" spans="1:10">
      <c r="A12" s="19"/>
      <c r="D12" s="26"/>
      <c r="E12" s="25"/>
    </row>
    <row r="13" spans="1:10">
      <c r="A13" s="47" t="s">
        <v>384</v>
      </c>
      <c r="B13" s="48" t="s">
        <v>154</v>
      </c>
      <c r="C13" s="47" t="s">
        <v>23</v>
      </c>
      <c r="D13" s="49">
        <v>4.45</v>
      </c>
      <c r="E13" s="50">
        <v>154.06</v>
      </c>
      <c r="F13" s="31" t="s">
        <v>310</v>
      </c>
    </row>
    <row r="14" spans="1:10">
      <c r="A14" s="20" t="s">
        <v>398</v>
      </c>
      <c r="B14" s="23" t="s">
        <v>154</v>
      </c>
      <c r="C14" s="20" t="s">
        <v>23</v>
      </c>
      <c r="D14" s="21">
        <v>1.48</v>
      </c>
      <c r="E14" s="22">
        <v>37.83</v>
      </c>
    </row>
    <row r="15" spans="1:10">
      <c r="A15" s="19" t="s">
        <v>7</v>
      </c>
      <c r="D15" s="26">
        <f>SUM(D13:D14)</f>
        <v>5.93</v>
      </c>
      <c r="E15" s="25">
        <f>SUM(E13:E14)</f>
        <v>191.89</v>
      </c>
    </row>
    <row r="16" spans="1:10">
      <c r="A16" s="19"/>
      <c r="D16" s="26"/>
      <c r="E16" s="25"/>
    </row>
    <row r="17" spans="1:6">
      <c r="A17" s="20" t="s">
        <v>399</v>
      </c>
      <c r="B17" s="23" t="s">
        <v>198</v>
      </c>
      <c r="C17" s="20" t="s">
        <v>264</v>
      </c>
      <c r="D17" s="21">
        <v>0.17</v>
      </c>
      <c r="E17" s="22">
        <v>4.13</v>
      </c>
    </row>
    <row r="18" spans="1:6">
      <c r="A18" s="19" t="s">
        <v>7</v>
      </c>
      <c r="D18" s="26">
        <f>SUM(D17)</f>
        <v>0.17</v>
      </c>
      <c r="E18" s="25">
        <f>SUM(E17)</f>
        <v>4.13</v>
      </c>
    </row>
    <row r="19" spans="1:6">
      <c r="A19" s="19"/>
      <c r="D19" s="26"/>
      <c r="E19" s="25"/>
    </row>
    <row r="20" spans="1:6">
      <c r="A20" s="20" t="s">
        <v>14</v>
      </c>
      <c r="B20" s="23" t="s">
        <v>156</v>
      </c>
      <c r="C20" s="20" t="s">
        <v>91</v>
      </c>
      <c r="D20" s="21"/>
      <c r="E20" s="22"/>
    </row>
    <row r="21" spans="1:6">
      <c r="A21" s="27" t="s">
        <v>335</v>
      </c>
      <c r="B21" s="28" t="s">
        <v>156</v>
      </c>
      <c r="C21" s="27" t="s">
        <v>91</v>
      </c>
      <c r="D21" s="29">
        <v>6.53</v>
      </c>
      <c r="E21" s="30">
        <v>181.3</v>
      </c>
      <c r="F21" s="31" t="s">
        <v>310</v>
      </c>
    </row>
    <row r="22" spans="1:6">
      <c r="A22" s="20" t="s">
        <v>92</v>
      </c>
      <c r="B22" s="23" t="s">
        <v>156</v>
      </c>
      <c r="C22" s="20" t="s">
        <v>91</v>
      </c>
      <c r="D22" s="21">
        <v>1.33</v>
      </c>
      <c r="E22" s="22">
        <v>36.700000000000003</v>
      </c>
    </row>
    <row r="23" spans="1:6">
      <c r="A23" s="27" t="s">
        <v>400</v>
      </c>
      <c r="B23" s="28" t="s">
        <v>156</v>
      </c>
      <c r="C23" s="27" t="s">
        <v>91</v>
      </c>
      <c r="D23" s="29">
        <v>5.23</v>
      </c>
      <c r="E23" s="30">
        <v>133.44999999999999</v>
      </c>
      <c r="F23" s="31" t="s">
        <v>310</v>
      </c>
    </row>
    <row r="24" spans="1:6">
      <c r="A24" s="19" t="s">
        <v>7</v>
      </c>
      <c r="D24" s="26">
        <f>SUM(D21:D23)</f>
        <v>13.09</v>
      </c>
      <c r="E24" s="25">
        <f>SUM(E21:E23)</f>
        <v>351.45</v>
      </c>
    </row>
    <row r="25" spans="1:6">
      <c r="D25" s="21"/>
      <c r="E25" s="22"/>
    </row>
    <row r="26" spans="1:6">
      <c r="A26" s="27" t="s">
        <v>319</v>
      </c>
      <c r="B26" s="28" t="s">
        <v>157</v>
      </c>
      <c r="C26" s="27" t="s">
        <v>66</v>
      </c>
      <c r="D26" s="29">
        <v>4.47</v>
      </c>
      <c r="E26" s="30">
        <v>90.45</v>
      </c>
      <c r="F26" s="31" t="s">
        <v>310</v>
      </c>
    </row>
    <row r="27" spans="1:6">
      <c r="A27" s="27" t="s">
        <v>290</v>
      </c>
      <c r="B27" s="28" t="s">
        <v>157</v>
      </c>
      <c r="C27" s="27" t="s">
        <v>66</v>
      </c>
      <c r="D27" s="29">
        <v>4.32</v>
      </c>
      <c r="E27" s="30">
        <v>87.41</v>
      </c>
      <c r="F27" s="31" t="s">
        <v>310</v>
      </c>
    </row>
    <row r="28" spans="1:6">
      <c r="A28" s="27" t="s">
        <v>391</v>
      </c>
      <c r="B28" s="28" t="s">
        <v>157</v>
      </c>
      <c r="C28" s="27" t="s">
        <v>66</v>
      </c>
      <c r="D28" s="29">
        <v>24</v>
      </c>
      <c r="E28" s="30">
        <v>468</v>
      </c>
      <c r="F28" s="31" t="s">
        <v>310</v>
      </c>
    </row>
    <row r="29" spans="1:6">
      <c r="A29" s="27" t="s">
        <v>228</v>
      </c>
      <c r="B29" s="28" t="s">
        <v>157</v>
      </c>
      <c r="C29" s="27" t="s">
        <v>66</v>
      </c>
      <c r="D29" s="29">
        <v>28.38</v>
      </c>
      <c r="E29" s="30">
        <v>574.76</v>
      </c>
      <c r="F29" s="31" t="s">
        <v>310</v>
      </c>
    </row>
    <row r="30" spans="1:6">
      <c r="A30" s="27" t="s">
        <v>75</v>
      </c>
      <c r="B30" s="28" t="s">
        <v>157</v>
      </c>
      <c r="C30" s="27" t="s">
        <v>66</v>
      </c>
      <c r="D30" s="29">
        <v>13.18</v>
      </c>
      <c r="E30" s="30">
        <v>257.08</v>
      </c>
      <c r="F30" s="31" t="s">
        <v>310</v>
      </c>
    </row>
    <row r="31" spans="1:6">
      <c r="A31" s="27" t="s">
        <v>378</v>
      </c>
      <c r="B31" s="28" t="s">
        <v>157</v>
      </c>
      <c r="C31" s="27" t="s">
        <v>66</v>
      </c>
      <c r="D31" s="29">
        <v>7.15</v>
      </c>
      <c r="E31" s="30">
        <v>139.43</v>
      </c>
      <c r="F31" s="31" t="s">
        <v>310</v>
      </c>
    </row>
    <row r="32" spans="1:6">
      <c r="A32" s="27" t="s">
        <v>292</v>
      </c>
      <c r="B32" s="28" t="s">
        <v>157</v>
      </c>
      <c r="C32" s="27" t="s">
        <v>66</v>
      </c>
      <c r="D32" s="27">
        <v>12.62</v>
      </c>
      <c r="E32" s="30">
        <v>283.88</v>
      </c>
      <c r="F32" s="31" t="s">
        <v>310</v>
      </c>
    </row>
    <row r="33" spans="1:6">
      <c r="A33" s="27" t="s">
        <v>85</v>
      </c>
      <c r="B33" s="28" t="s">
        <v>157</v>
      </c>
      <c r="C33" s="27" t="s">
        <v>66</v>
      </c>
      <c r="D33" s="27">
        <v>20.77</v>
      </c>
      <c r="E33" s="30">
        <v>513.98</v>
      </c>
      <c r="F33" s="31" t="s">
        <v>310</v>
      </c>
    </row>
    <row r="34" spans="1:6">
      <c r="A34" s="27" t="s">
        <v>159</v>
      </c>
      <c r="B34" s="28" t="s">
        <v>157</v>
      </c>
      <c r="C34" s="27" t="s">
        <v>66</v>
      </c>
      <c r="D34" s="91">
        <v>39.67</v>
      </c>
      <c r="E34" s="30">
        <v>892.5</v>
      </c>
      <c r="F34" s="31" t="s">
        <v>310</v>
      </c>
    </row>
    <row r="35" spans="1:6">
      <c r="A35" s="27" t="s">
        <v>328</v>
      </c>
      <c r="B35" s="28" t="s">
        <v>157</v>
      </c>
      <c r="C35" s="27" t="s">
        <v>66</v>
      </c>
      <c r="D35" s="91">
        <v>23.8</v>
      </c>
      <c r="E35" s="30">
        <v>553.35</v>
      </c>
      <c r="F35" s="31" t="s">
        <v>310</v>
      </c>
    </row>
    <row r="36" spans="1:6">
      <c r="A36" s="27" t="s">
        <v>386</v>
      </c>
      <c r="B36" s="28" t="s">
        <v>157</v>
      </c>
      <c r="C36" s="27" t="s">
        <v>66</v>
      </c>
      <c r="D36" s="91">
        <v>8.65</v>
      </c>
      <c r="E36" s="30">
        <v>194.63</v>
      </c>
      <c r="F36" s="31" t="s">
        <v>310</v>
      </c>
    </row>
    <row r="37" spans="1:6">
      <c r="A37" s="27" t="s">
        <v>79</v>
      </c>
      <c r="B37" s="28" t="s">
        <v>157</v>
      </c>
      <c r="C37" s="27" t="s">
        <v>66</v>
      </c>
      <c r="D37" s="27">
        <v>5.52</v>
      </c>
      <c r="E37" s="30">
        <f>59.46+70.88</f>
        <v>130.34</v>
      </c>
      <c r="F37" s="31" t="s">
        <v>310</v>
      </c>
    </row>
    <row r="38" spans="1:6">
      <c r="A38" s="20" t="s">
        <v>401</v>
      </c>
      <c r="B38" s="23" t="s">
        <v>157</v>
      </c>
      <c r="C38" s="20" t="s">
        <v>66</v>
      </c>
      <c r="D38" s="20">
        <v>3.2</v>
      </c>
      <c r="E38" s="22">
        <v>64.900000000000006</v>
      </c>
    </row>
    <row r="39" spans="1:6">
      <c r="A39" s="27" t="s">
        <v>375</v>
      </c>
      <c r="B39" s="28" t="s">
        <v>157</v>
      </c>
      <c r="C39" s="27" t="s">
        <v>66</v>
      </c>
      <c r="D39" s="27">
        <v>17.68</v>
      </c>
      <c r="E39" s="30">
        <v>344.83</v>
      </c>
      <c r="F39" s="31" t="s">
        <v>310</v>
      </c>
    </row>
    <row r="40" spans="1:6">
      <c r="A40" s="20" t="s">
        <v>161</v>
      </c>
      <c r="B40" s="23" t="s">
        <v>157</v>
      </c>
      <c r="C40" s="20" t="s">
        <v>66</v>
      </c>
      <c r="D40" s="20">
        <v>0.78</v>
      </c>
      <c r="E40" s="22">
        <v>15.86</v>
      </c>
    </row>
    <row r="41" spans="1:6">
      <c r="A41" s="27" t="s">
        <v>392</v>
      </c>
      <c r="B41" s="28" t="s">
        <v>157</v>
      </c>
      <c r="C41" s="27" t="s">
        <v>66</v>
      </c>
      <c r="D41" s="27">
        <v>5.55</v>
      </c>
      <c r="E41" s="30">
        <v>120.71</v>
      </c>
      <c r="F41" s="31" t="s">
        <v>310</v>
      </c>
    </row>
    <row r="42" spans="1:6">
      <c r="A42" s="19" t="s">
        <v>7</v>
      </c>
      <c r="D42" s="26">
        <f>SUM(D26:D41)</f>
        <v>219.74000000000004</v>
      </c>
      <c r="E42" s="25">
        <f>SUM(E26:E41)</f>
        <v>4732.1099999999988</v>
      </c>
    </row>
    <row r="43" spans="1:6">
      <c r="A43" s="19"/>
      <c r="D43" s="26"/>
      <c r="E43" s="25"/>
    </row>
    <row r="44" spans="1:6">
      <c r="A44" s="27" t="s">
        <v>163</v>
      </c>
      <c r="B44" s="28" t="s">
        <v>162</v>
      </c>
      <c r="C44" s="27" t="s">
        <v>51</v>
      </c>
      <c r="D44" s="29">
        <v>4.87</v>
      </c>
      <c r="E44" s="30">
        <v>131.4</v>
      </c>
      <c r="F44" s="31" t="s">
        <v>310</v>
      </c>
    </row>
    <row r="45" spans="1:6">
      <c r="A45" s="19" t="s">
        <v>7</v>
      </c>
      <c r="B45" s="23"/>
      <c r="D45" s="26">
        <f>SUM(D44)</f>
        <v>4.87</v>
      </c>
      <c r="E45" s="25">
        <f>SUM(E44)</f>
        <v>131.4</v>
      </c>
    </row>
    <row r="46" spans="1:6">
      <c r="A46" s="19"/>
      <c r="D46" s="26"/>
      <c r="E46" s="25"/>
    </row>
    <row r="47" spans="1:6">
      <c r="A47" s="20" t="s">
        <v>64</v>
      </c>
      <c r="B47" s="23" t="s">
        <v>164</v>
      </c>
      <c r="C47" s="20" t="s">
        <v>60</v>
      </c>
      <c r="D47" s="21">
        <v>0.22</v>
      </c>
      <c r="E47" s="22">
        <v>4.3499999999999996</v>
      </c>
    </row>
    <row r="48" spans="1:6">
      <c r="A48" s="20" t="s">
        <v>339</v>
      </c>
      <c r="B48" s="23" t="s">
        <v>164</v>
      </c>
      <c r="C48" s="20" t="s">
        <v>60</v>
      </c>
      <c r="D48" s="21">
        <v>2.7</v>
      </c>
      <c r="E48" s="22">
        <v>64.8</v>
      </c>
    </row>
    <row r="49" spans="1:6">
      <c r="A49" s="19" t="s">
        <v>7</v>
      </c>
      <c r="D49" s="26">
        <f>SUM(D47:D48)</f>
        <v>2.9200000000000004</v>
      </c>
      <c r="E49" s="25">
        <f>SUM(E47:E48)</f>
        <v>69.149999999999991</v>
      </c>
    </row>
    <row r="50" spans="1:6">
      <c r="A50" s="19"/>
      <c r="D50" s="26"/>
      <c r="E50" s="25"/>
    </row>
    <row r="51" spans="1:6">
      <c r="A51" s="27" t="s">
        <v>166</v>
      </c>
      <c r="B51" s="28" t="s">
        <v>167</v>
      </c>
      <c r="C51" s="27" t="s">
        <v>54</v>
      </c>
      <c r="D51" s="29">
        <v>8.0500000000000007</v>
      </c>
      <c r="E51" s="30">
        <v>186.56</v>
      </c>
      <c r="F51" s="31" t="s">
        <v>310</v>
      </c>
    </row>
    <row r="52" spans="1:6">
      <c r="A52" s="27" t="s">
        <v>253</v>
      </c>
      <c r="B52" s="28" t="s">
        <v>167</v>
      </c>
      <c r="C52" s="27" t="s">
        <v>54</v>
      </c>
      <c r="D52" s="29">
        <v>15.53</v>
      </c>
      <c r="E52" s="30">
        <v>349.5</v>
      </c>
      <c r="F52" s="31" t="s">
        <v>310</v>
      </c>
    </row>
    <row r="53" spans="1:6">
      <c r="A53" s="27" t="s">
        <v>270</v>
      </c>
      <c r="B53" s="28" t="s">
        <v>167</v>
      </c>
      <c r="C53" s="27" t="s">
        <v>54</v>
      </c>
      <c r="D53" s="29">
        <v>32.57</v>
      </c>
      <c r="E53" s="30">
        <v>879.3</v>
      </c>
      <c r="F53" s="31" t="s">
        <v>310</v>
      </c>
    </row>
    <row r="54" spans="1:6">
      <c r="A54" s="19" t="s">
        <v>7</v>
      </c>
      <c r="B54" s="23"/>
      <c r="D54" s="26">
        <f>SUM(D51:D53)</f>
        <v>56.15</v>
      </c>
      <c r="E54" s="25">
        <f>SUM(E51:E53)</f>
        <v>1415.36</v>
      </c>
    </row>
    <row r="55" spans="1:6">
      <c r="A55" s="19"/>
      <c r="B55" s="23"/>
      <c r="D55" s="26"/>
      <c r="E55" s="25"/>
    </row>
    <row r="56" spans="1:6">
      <c r="A56" s="20" t="s">
        <v>286</v>
      </c>
      <c r="B56" s="20" t="s">
        <v>171</v>
      </c>
      <c r="C56" s="20" t="s">
        <v>25</v>
      </c>
      <c r="D56" s="21">
        <v>0.43</v>
      </c>
      <c r="E56" s="22">
        <v>11.86</v>
      </c>
    </row>
    <row r="57" spans="1:6">
      <c r="A57" s="20" t="s">
        <v>306</v>
      </c>
      <c r="B57" s="23" t="s">
        <v>171</v>
      </c>
      <c r="C57" s="20" t="s">
        <v>25</v>
      </c>
      <c r="D57" s="21">
        <v>2.17</v>
      </c>
      <c r="E57" s="22">
        <v>59.31</v>
      </c>
    </row>
    <row r="58" spans="1:6">
      <c r="A58" s="20" t="s">
        <v>368</v>
      </c>
      <c r="B58" s="23" t="s">
        <v>171</v>
      </c>
      <c r="C58" s="20" t="s">
        <v>25</v>
      </c>
      <c r="D58" s="21">
        <v>0.3</v>
      </c>
      <c r="E58" s="22">
        <v>8.7799999999999994</v>
      </c>
    </row>
    <row r="59" spans="1:6">
      <c r="A59" s="19" t="s">
        <v>7</v>
      </c>
      <c r="D59" s="26">
        <f>SUM(D56:D58)</f>
        <v>2.9</v>
      </c>
      <c r="E59" s="25">
        <f>SUM(E56:E58)</f>
        <v>79.95</v>
      </c>
    </row>
    <row r="60" spans="1:6">
      <c r="A60" s="19"/>
      <c r="D60" s="26"/>
      <c r="E60" s="25"/>
    </row>
    <row r="61" spans="1:6">
      <c r="A61" s="20" t="s">
        <v>394</v>
      </c>
      <c r="B61" s="23" t="s">
        <v>172</v>
      </c>
      <c r="C61" s="20" t="s">
        <v>348</v>
      </c>
      <c r="D61" s="21">
        <v>0.1</v>
      </c>
      <c r="E61" s="22">
        <v>3.5</v>
      </c>
    </row>
    <row r="62" spans="1:6">
      <c r="A62" s="19" t="s">
        <v>7</v>
      </c>
      <c r="D62" s="26">
        <f>SUM(D61)</f>
        <v>0.1</v>
      </c>
      <c r="E62" s="25">
        <f>SUM(E61)</f>
        <v>3.5</v>
      </c>
    </row>
    <row r="63" spans="1:6">
      <c r="D63" s="21"/>
      <c r="E63" s="22"/>
    </row>
    <row r="64" spans="1:6">
      <c r="A64" s="20" t="s">
        <v>307</v>
      </c>
      <c r="B64" s="20">
        <v>100035</v>
      </c>
      <c r="C64" s="20" t="s">
        <v>332</v>
      </c>
      <c r="D64" s="21">
        <v>0.42</v>
      </c>
      <c r="E64" s="22">
        <v>15.67</v>
      </c>
    </row>
    <row r="65" spans="1:6">
      <c r="A65" s="47" t="s">
        <v>331</v>
      </c>
      <c r="B65" s="47">
        <v>100035</v>
      </c>
      <c r="C65" s="47" t="s">
        <v>332</v>
      </c>
      <c r="D65" s="49">
        <v>4.97</v>
      </c>
      <c r="E65" s="50">
        <v>151.97999999999999</v>
      </c>
      <c r="F65" s="31" t="s">
        <v>310</v>
      </c>
    </row>
    <row r="66" spans="1:6">
      <c r="A66" s="19" t="s">
        <v>7</v>
      </c>
      <c r="D66" s="26">
        <f>SUM(D64:D65)</f>
        <v>5.39</v>
      </c>
      <c r="E66" s="25">
        <f>SUM(E64:E65)</f>
        <v>167.64999999999998</v>
      </c>
    </row>
    <row r="67" spans="1:6">
      <c r="A67" s="19"/>
      <c r="D67" s="21"/>
      <c r="E67" s="22"/>
    </row>
    <row r="68" spans="1:6">
      <c r="A68" s="20" t="s">
        <v>276</v>
      </c>
      <c r="B68" s="20">
        <v>100051</v>
      </c>
      <c r="C68" s="20" t="s">
        <v>34</v>
      </c>
      <c r="D68" s="21">
        <v>0.67</v>
      </c>
      <c r="E68" s="22">
        <v>13.39</v>
      </c>
    </row>
    <row r="69" spans="1:6">
      <c r="A69" s="20" t="s">
        <v>402</v>
      </c>
      <c r="B69" s="20">
        <v>100051</v>
      </c>
      <c r="C69" s="20" t="s">
        <v>34</v>
      </c>
      <c r="D69" s="21">
        <v>3.07</v>
      </c>
      <c r="E69" s="22">
        <v>60.4</v>
      </c>
    </row>
    <row r="70" spans="1:6">
      <c r="A70" s="19" t="s">
        <v>7</v>
      </c>
      <c r="D70" s="26">
        <f>SUM(D68:D69)</f>
        <v>3.7399999999999998</v>
      </c>
      <c r="E70" s="25">
        <f>SUM(E68:E69)</f>
        <v>73.789999999999992</v>
      </c>
    </row>
    <row r="71" spans="1:6">
      <c r="A71" s="19"/>
      <c r="D71" s="26"/>
      <c r="E71" s="25"/>
    </row>
    <row r="72" spans="1:6">
      <c r="A72" s="20" t="s">
        <v>144</v>
      </c>
      <c r="B72" s="20">
        <v>290051</v>
      </c>
      <c r="C72" s="20" t="s">
        <v>396</v>
      </c>
      <c r="D72" s="21">
        <v>0.68</v>
      </c>
      <c r="E72" s="22">
        <v>13.72</v>
      </c>
    </row>
    <row r="73" spans="1:6">
      <c r="A73" s="19" t="s">
        <v>7</v>
      </c>
      <c r="D73" s="26">
        <f>SUM(D72)</f>
        <v>0.68</v>
      </c>
      <c r="E73" s="25">
        <f>SUM(E72)</f>
        <v>13.72</v>
      </c>
    </row>
    <row r="74" spans="1:6">
      <c r="A74" s="19"/>
      <c r="D74" s="26"/>
      <c r="E74" s="25"/>
    </row>
    <row r="75" spans="1:6">
      <c r="A75" s="20" t="s">
        <v>100</v>
      </c>
      <c r="B75" s="20">
        <v>400035</v>
      </c>
      <c r="C75" s="20" t="s">
        <v>376</v>
      </c>
      <c r="D75" s="21">
        <v>1.35</v>
      </c>
      <c r="E75" s="22">
        <v>41.72</v>
      </c>
    </row>
    <row r="76" spans="1:6">
      <c r="A76" s="19" t="s">
        <v>7</v>
      </c>
      <c r="D76" s="26">
        <f>SUM(D75)</f>
        <v>1.35</v>
      </c>
      <c r="E76" s="25">
        <f>SUM(E75)</f>
        <v>41.72</v>
      </c>
    </row>
    <row r="77" spans="1:6">
      <c r="A77" s="19"/>
      <c r="D77" s="26"/>
      <c r="E77" s="25"/>
    </row>
    <row r="78" spans="1:6">
      <c r="A78" s="32" t="s">
        <v>369</v>
      </c>
      <c r="B78" s="32">
        <v>450044</v>
      </c>
      <c r="C78" s="32" t="s">
        <v>134</v>
      </c>
      <c r="D78" s="33">
        <v>10.18</v>
      </c>
      <c r="E78" s="34">
        <v>220.72</v>
      </c>
      <c r="F78" s="31" t="s">
        <v>310</v>
      </c>
    </row>
    <row r="79" spans="1:6">
      <c r="A79" s="19" t="s">
        <v>7</v>
      </c>
      <c r="D79" s="26">
        <f>SUM(D78)</f>
        <v>10.18</v>
      </c>
      <c r="E79" s="25">
        <f>SUM(E78)</f>
        <v>220.72</v>
      </c>
    </row>
    <row r="80" spans="1:6">
      <c r="A80" s="19"/>
      <c r="D80" s="26"/>
      <c r="E80" s="25"/>
    </row>
    <row r="81" spans="1:6">
      <c r="A81" s="20" t="s">
        <v>346</v>
      </c>
      <c r="B81" s="23">
        <v>450046</v>
      </c>
      <c r="C81" s="20" t="s">
        <v>128</v>
      </c>
      <c r="D81" s="21">
        <v>1.02</v>
      </c>
      <c r="E81" s="22">
        <v>30.5</v>
      </c>
    </row>
    <row r="82" spans="1:6">
      <c r="A82" s="19" t="s">
        <v>7</v>
      </c>
      <c r="D82" s="26">
        <f>SUM(D81)</f>
        <v>1.02</v>
      </c>
      <c r="E82" s="25">
        <f>SUM(E81)</f>
        <v>30.5</v>
      </c>
    </row>
    <row r="83" spans="1:6">
      <c r="A83" s="19"/>
      <c r="D83" s="26"/>
      <c r="E83" s="25"/>
    </row>
    <row r="84" spans="1:6" ht="51">
      <c r="A84" s="32" t="s">
        <v>282</v>
      </c>
      <c r="B84" s="32">
        <v>450048</v>
      </c>
      <c r="C84" s="32" t="s">
        <v>388</v>
      </c>
      <c r="D84" s="33">
        <v>32.75</v>
      </c>
      <c r="E84" s="34">
        <v>816.45</v>
      </c>
      <c r="F84" s="110" t="s">
        <v>403</v>
      </c>
    </row>
    <row r="85" spans="1:6">
      <c r="A85" s="19" t="s">
        <v>7</v>
      </c>
      <c r="D85" s="26">
        <f>SUM(D84)</f>
        <v>32.75</v>
      </c>
      <c r="E85" s="25">
        <f>SUM(E84)</f>
        <v>816.45</v>
      </c>
    </row>
    <row r="86" spans="1:6">
      <c r="A86" s="19"/>
      <c r="D86" s="26"/>
      <c r="E86" s="25"/>
    </row>
    <row r="87" spans="1:6" ht="51">
      <c r="A87" s="32" t="s">
        <v>123</v>
      </c>
      <c r="B87" s="32">
        <v>450051</v>
      </c>
      <c r="C87" s="32" t="s">
        <v>279</v>
      </c>
      <c r="D87" s="33">
        <v>5.38</v>
      </c>
      <c r="E87" s="34">
        <v>93.83</v>
      </c>
      <c r="F87" s="110" t="s">
        <v>403</v>
      </c>
    </row>
    <row r="88" spans="1:6">
      <c r="A88" s="20" t="s">
        <v>111</v>
      </c>
      <c r="B88" s="20">
        <v>450051</v>
      </c>
      <c r="C88" s="20" t="s">
        <v>279</v>
      </c>
      <c r="D88" s="21">
        <v>2.7</v>
      </c>
      <c r="E88" s="22">
        <v>41.63</v>
      </c>
    </row>
    <row r="89" spans="1:6">
      <c r="A89" s="20" t="s">
        <v>106</v>
      </c>
      <c r="B89" s="20">
        <v>450051</v>
      </c>
      <c r="C89" s="20" t="s">
        <v>279</v>
      </c>
      <c r="D89" s="21">
        <v>1.9</v>
      </c>
      <c r="E89" s="22">
        <v>32.29</v>
      </c>
    </row>
    <row r="90" spans="1:6">
      <c r="A90" s="20" t="s">
        <v>404</v>
      </c>
      <c r="B90" s="20">
        <v>450051</v>
      </c>
      <c r="C90" s="20" t="s">
        <v>279</v>
      </c>
      <c r="D90" s="21">
        <v>2</v>
      </c>
      <c r="E90" s="22">
        <v>30</v>
      </c>
    </row>
    <row r="91" spans="1:6">
      <c r="A91" s="19" t="s">
        <v>7</v>
      </c>
      <c r="D91" s="26">
        <f>SUM(D87:D90)</f>
        <v>11.98</v>
      </c>
      <c r="E91" s="25">
        <f>SUM(E87:E90)</f>
        <v>197.75</v>
      </c>
    </row>
    <row r="92" spans="1:6">
      <c r="D92" s="21"/>
      <c r="E92" s="22"/>
    </row>
    <row r="93" spans="1:6">
      <c r="A93" s="20" t="s">
        <v>124</v>
      </c>
      <c r="B93" s="20">
        <v>450052</v>
      </c>
      <c r="C93" s="20" t="s">
        <v>281</v>
      </c>
      <c r="D93" s="21">
        <v>3.98</v>
      </c>
      <c r="E93" s="22">
        <v>95.6</v>
      </c>
    </row>
    <row r="94" spans="1:6">
      <c r="A94" s="19" t="s">
        <v>7</v>
      </c>
      <c r="B94" s="19"/>
      <c r="C94" s="19"/>
      <c r="D94" s="26">
        <f>SUM(D93)</f>
        <v>3.98</v>
      </c>
      <c r="E94" s="25">
        <f>SUM(E93)</f>
        <v>95.6</v>
      </c>
    </row>
    <row r="95" spans="1:6">
      <c r="D95" s="21"/>
      <c r="E95" s="22"/>
    </row>
    <row r="96" spans="1:6">
      <c r="A96" s="20" t="s">
        <v>244</v>
      </c>
      <c r="B96" s="20">
        <v>400020</v>
      </c>
      <c r="C96" s="20" t="s">
        <v>98</v>
      </c>
      <c r="D96" s="21">
        <v>1.87</v>
      </c>
      <c r="E96" s="22">
        <v>45.25</v>
      </c>
    </row>
    <row r="97" spans="1:6">
      <c r="A97" s="20" t="s">
        <v>97</v>
      </c>
      <c r="B97" s="20" t="s">
        <v>181</v>
      </c>
      <c r="C97" s="20" t="s">
        <v>98</v>
      </c>
      <c r="D97" s="21">
        <v>1.6</v>
      </c>
      <c r="E97" s="22">
        <v>49.94</v>
      </c>
    </row>
    <row r="98" spans="1:6">
      <c r="A98" s="19" t="s">
        <v>7</v>
      </c>
      <c r="D98" s="26">
        <f>SUM(D96:D97)</f>
        <v>3.47</v>
      </c>
      <c r="E98" s="25">
        <f>SUM(E96:E97)</f>
        <v>95.19</v>
      </c>
    </row>
    <row r="99" spans="1:6">
      <c r="A99" s="19"/>
      <c r="D99" s="26"/>
      <c r="E99" s="25"/>
    </row>
    <row r="100" spans="1:6">
      <c r="A100" s="32" t="s">
        <v>39</v>
      </c>
      <c r="B100" s="32">
        <v>550051</v>
      </c>
      <c r="C100" s="32" t="s">
        <v>104</v>
      </c>
      <c r="D100" s="33">
        <v>42.6</v>
      </c>
      <c r="E100" s="34">
        <v>958.5</v>
      </c>
      <c r="F100" s="31" t="s">
        <v>310</v>
      </c>
    </row>
    <row r="101" spans="1:6">
      <c r="A101" s="19" t="s">
        <v>7</v>
      </c>
      <c r="D101" s="26">
        <f>SUM(D100)</f>
        <v>42.6</v>
      </c>
      <c r="E101" s="25">
        <f>SUM(E100)</f>
        <v>958.5</v>
      </c>
    </row>
    <row r="102" spans="1:6">
      <c r="A102" s="19"/>
      <c r="D102" s="26"/>
      <c r="E102" s="25"/>
    </row>
    <row r="103" spans="1:6">
      <c r="A103" s="32" t="s">
        <v>41</v>
      </c>
      <c r="B103" s="32">
        <v>550052</v>
      </c>
      <c r="C103" s="32" t="s">
        <v>126</v>
      </c>
      <c r="D103" s="33">
        <v>42.78</v>
      </c>
      <c r="E103" s="34">
        <v>1026.8</v>
      </c>
      <c r="F103" s="31" t="s">
        <v>310</v>
      </c>
    </row>
    <row r="104" spans="1:6">
      <c r="A104" s="19" t="s">
        <v>7</v>
      </c>
      <c r="D104" s="26">
        <f>SUM(D103)</f>
        <v>42.78</v>
      </c>
      <c r="E104" s="25">
        <f>SUM(E103)</f>
        <v>1026.8</v>
      </c>
    </row>
    <row r="105" spans="1:6">
      <c r="A105" s="19"/>
      <c r="D105" s="26"/>
      <c r="E105" s="25"/>
    </row>
    <row r="106" spans="1:6">
      <c r="A106" s="19" t="s">
        <v>194</v>
      </c>
      <c r="D106" s="26">
        <f>D8+D11+D15+D18+D24+D42+D45+D49+D54+D59+D62+D66+D70+D73+D76+D79+D82+D85+D91+D94+D98+D101+D104</f>
        <v>489.60000000000014</v>
      </c>
      <c r="E106" s="25">
        <f>E8+E11+E15+E18+E24+E42+E45+E49+E54+E59+E62+E66+E70+E73+E76+E79+E82+E85+E91+E94+E98+E101+E104</f>
        <v>11419.349999999999</v>
      </c>
      <c r="F106" s="12"/>
    </row>
    <row r="107" spans="1:6">
      <c r="D107" s="21"/>
      <c r="E107" s="22"/>
    </row>
    <row r="108" spans="1:6">
      <c r="A108" s="19"/>
      <c r="D108" s="26"/>
      <c r="E108" s="25"/>
    </row>
    <row r="109" spans="1:6">
      <c r="D109" s="21"/>
      <c r="E109" s="22"/>
    </row>
    <row r="110" spans="1:6">
      <c r="D110" s="21"/>
      <c r="E110" s="22"/>
    </row>
    <row r="111" spans="1:6">
      <c r="A111" s="19"/>
      <c r="D111" s="26"/>
      <c r="E111" s="25"/>
    </row>
    <row r="112" spans="1:6">
      <c r="A112" s="19"/>
      <c r="D112" s="26"/>
      <c r="E112" s="25"/>
    </row>
    <row r="113" spans="1:5">
      <c r="D113" s="21"/>
      <c r="E113" s="22"/>
    </row>
    <row r="114" spans="1:5">
      <c r="A114" s="19"/>
      <c r="D114" s="26"/>
      <c r="E114" s="25"/>
    </row>
    <row r="115" spans="1:5">
      <c r="A115" s="19"/>
      <c r="D115" s="26"/>
      <c r="E115" s="25"/>
    </row>
    <row r="116" spans="1:5">
      <c r="D116" s="21"/>
      <c r="E116" s="22"/>
    </row>
    <row r="117" spans="1:5">
      <c r="A117" s="19"/>
      <c r="D117" s="26"/>
      <c r="E117" s="25"/>
    </row>
    <row r="118" spans="1:5">
      <c r="A118" s="19"/>
      <c r="D118" s="26"/>
      <c r="E118" s="25"/>
    </row>
    <row r="119" spans="1:5">
      <c r="D119" s="21"/>
      <c r="E119" s="22"/>
    </row>
    <row r="120" spans="1:5">
      <c r="D120" s="21"/>
      <c r="E120" s="22"/>
    </row>
    <row r="121" spans="1:5">
      <c r="A121" s="19"/>
      <c r="D121" s="26"/>
      <c r="E121" s="25"/>
    </row>
    <row r="122" spans="1:5">
      <c r="A122" s="19"/>
      <c r="D122" s="21"/>
      <c r="E122" s="22"/>
    </row>
    <row r="123" spans="1:5">
      <c r="A123" s="19"/>
      <c r="D123" s="26"/>
      <c r="E123" s="26"/>
    </row>
    <row r="124" spans="1:5">
      <c r="D124" s="26"/>
      <c r="E124" s="25"/>
    </row>
  </sheetData>
  <mergeCells count="1">
    <mergeCell ref="G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50"/>
  <sheetViews>
    <sheetView workbookViewId="0">
      <pane ySplit="1" topLeftCell="A137" activePane="bottomLeft" state="frozenSplit"/>
      <selection pane="bottomLeft" activeCell="H21" sqref="H21"/>
    </sheetView>
  </sheetViews>
  <sheetFormatPr defaultRowHeight="12.75"/>
  <cols>
    <col min="1" max="1" width="31.7109375" customWidth="1"/>
    <col min="2" max="2" width="22.7109375" customWidth="1"/>
    <col min="3" max="3" width="36.7109375" customWidth="1"/>
    <col min="4" max="4" width="22.7109375" customWidth="1"/>
    <col min="5" max="5" width="25.7109375" customWidth="1"/>
  </cols>
  <sheetData>
    <row r="1" spans="1:5">
      <c r="A1" s="1" t="s">
        <v>147</v>
      </c>
      <c r="B1" s="1" t="s">
        <v>148</v>
      </c>
      <c r="C1" s="1" t="s">
        <v>149</v>
      </c>
      <c r="D1" s="1" t="s">
        <v>150</v>
      </c>
      <c r="E1" s="1" t="s">
        <v>151</v>
      </c>
    </row>
    <row r="2" spans="1:5">
      <c r="A2" s="6" t="s">
        <v>20</v>
      </c>
      <c r="B2" s="6" t="s">
        <v>152</v>
      </c>
      <c r="C2" s="6" t="s">
        <v>15</v>
      </c>
      <c r="D2" s="7">
        <v>3.35</v>
      </c>
      <c r="E2" s="8">
        <v>85.43</v>
      </c>
    </row>
    <row r="3" spans="1:5">
      <c r="A3" s="6" t="s">
        <v>153</v>
      </c>
      <c r="B3" s="6" t="s">
        <v>152</v>
      </c>
      <c r="C3" s="6" t="s">
        <v>15</v>
      </c>
      <c r="D3" s="7">
        <v>3.1</v>
      </c>
      <c r="E3" s="8">
        <v>77.84</v>
      </c>
    </row>
    <row r="4" spans="1:5">
      <c r="A4" s="6" t="s">
        <v>18</v>
      </c>
      <c r="B4" s="6" t="s">
        <v>152</v>
      </c>
      <c r="C4" s="6" t="s">
        <v>15</v>
      </c>
      <c r="D4" s="7">
        <v>0.98</v>
      </c>
      <c r="E4" s="8">
        <v>26.85</v>
      </c>
    </row>
    <row r="5" spans="1:5">
      <c r="A5" s="6" t="s">
        <v>19</v>
      </c>
      <c r="B5" s="6" t="s">
        <v>152</v>
      </c>
      <c r="C5" s="6" t="s">
        <v>15</v>
      </c>
      <c r="D5" s="7">
        <v>1.8</v>
      </c>
      <c r="E5" s="8">
        <v>53.73</v>
      </c>
    </row>
    <row r="6" spans="1:5">
      <c r="A6" s="6" t="s">
        <v>21</v>
      </c>
      <c r="B6" s="6" t="s">
        <v>152</v>
      </c>
      <c r="C6" s="6" t="s">
        <v>15</v>
      </c>
      <c r="D6" s="7">
        <v>1.38</v>
      </c>
      <c r="E6" s="8">
        <v>43.18</v>
      </c>
    </row>
    <row r="7" spans="1:5">
      <c r="A7" s="204" t="s">
        <v>7</v>
      </c>
      <c r="B7" s="6"/>
      <c r="C7" s="6"/>
      <c r="D7" s="205">
        <f>SUM(D2:D6)</f>
        <v>10.61</v>
      </c>
      <c r="E7" s="206">
        <f>SUM(E2:E6)</f>
        <v>287.02999999999997</v>
      </c>
    </row>
    <row r="8" spans="1:5">
      <c r="A8" s="6"/>
      <c r="B8" s="6"/>
      <c r="C8" s="6"/>
      <c r="D8" s="7"/>
      <c r="E8" s="8"/>
    </row>
    <row r="9" spans="1:5">
      <c r="A9" s="6" t="s">
        <v>22</v>
      </c>
      <c r="B9" s="6" t="s">
        <v>154</v>
      </c>
      <c r="C9" s="6" t="s">
        <v>23</v>
      </c>
      <c r="D9" s="7">
        <v>0.05</v>
      </c>
      <c r="E9" s="8">
        <v>1.48</v>
      </c>
    </row>
    <row r="10" spans="1:5">
      <c r="A10" s="204" t="s">
        <v>7</v>
      </c>
      <c r="B10" s="6"/>
      <c r="C10" s="6"/>
      <c r="D10" s="207">
        <f>SUM(D9)</f>
        <v>0.05</v>
      </c>
      <c r="E10" s="206">
        <f>SUM(E9)</f>
        <v>1.48</v>
      </c>
    </row>
    <row r="11" spans="1:5">
      <c r="A11" s="6"/>
      <c r="B11" s="6"/>
      <c r="C11" s="6"/>
      <c r="D11" s="7"/>
      <c r="E11" s="8"/>
    </row>
    <row r="12" spans="1:5">
      <c r="A12" s="6" t="s">
        <v>30</v>
      </c>
      <c r="B12" s="6" t="s">
        <v>155</v>
      </c>
      <c r="C12" s="6" t="s">
        <v>31</v>
      </c>
      <c r="D12" s="7">
        <v>0.1</v>
      </c>
      <c r="E12" s="8">
        <v>2.5499999999999998</v>
      </c>
    </row>
    <row r="13" spans="1:5">
      <c r="A13" s="6" t="s">
        <v>195</v>
      </c>
      <c r="B13" s="210" t="s">
        <v>155</v>
      </c>
      <c r="C13" s="6" t="s">
        <v>196</v>
      </c>
      <c r="D13" s="7">
        <v>0.2</v>
      </c>
      <c r="E13" s="8">
        <v>4.8</v>
      </c>
    </row>
    <row r="14" spans="1:5">
      <c r="A14" s="204" t="s">
        <v>7</v>
      </c>
      <c r="B14" s="6"/>
      <c r="C14" s="6"/>
      <c r="D14" s="207">
        <f>SUM(D12:D13)</f>
        <v>0.30000000000000004</v>
      </c>
      <c r="E14" s="206">
        <f>SUM(E12:E13)</f>
        <v>7.35</v>
      </c>
    </row>
    <row r="15" spans="1:5">
      <c r="A15" s="204"/>
      <c r="B15" s="6"/>
      <c r="C15" s="6"/>
      <c r="D15" s="207"/>
      <c r="E15" s="206"/>
    </row>
    <row r="16" spans="1:5">
      <c r="A16" s="6" t="s">
        <v>197</v>
      </c>
      <c r="B16" s="210" t="s">
        <v>198</v>
      </c>
      <c r="C16" s="6" t="s">
        <v>199</v>
      </c>
      <c r="D16" s="7">
        <v>72.72</v>
      </c>
      <c r="E16" s="8">
        <v>1690.66</v>
      </c>
    </row>
    <row r="17" spans="1:5">
      <c r="A17" s="204" t="s">
        <v>7</v>
      </c>
      <c r="B17" s="6"/>
      <c r="C17" s="6"/>
      <c r="D17" s="207">
        <f>SUM(D16)</f>
        <v>72.72</v>
      </c>
      <c r="E17" s="206">
        <f>SUM(E16)</f>
        <v>1690.66</v>
      </c>
    </row>
    <row r="18" spans="1:5">
      <c r="A18" s="6"/>
      <c r="B18" s="6"/>
      <c r="C18" s="6"/>
      <c r="D18" s="7"/>
      <c r="E18" s="8"/>
    </row>
    <row r="19" spans="1:5">
      <c r="A19" s="6" t="s">
        <v>14</v>
      </c>
      <c r="B19" s="6" t="s">
        <v>156</v>
      </c>
      <c r="C19" s="6" t="s">
        <v>91</v>
      </c>
      <c r="D19" s="7">
        <v>16.600000000000001</v>
      </c>
      <c r="E19" s="8">
        <v>417.36</v>
      </c>
    </row>
    <row r="20" spans="1:5">
      <c r="A20" s="6" t="s">
        <v>94</v>
      </c>
      <c r="B20" s="6" t="s">
        <v>156</v>
      </c>
      <c r="C20" s="6" t="s">
        <v>91</v>
      </c>
      <c r="D20" s="7">
        <v>12.6</v>
      </c>
      <c r="E20" s="8">
        <v>311.47000000000003</v>
      </c>
    </row>
    <row r="21" spans="1:5">
      <c r="A21" s="6" t="s">
        <v>92</v>
      </c>
      <c r="B21" s="6" t="s">
        <v>156</v>
      </c>
      <c r="C21" s="6" t="s">
        <v>91</v>
      </c>
      <c r="D21" s="7">
        <v>12.2</v>
      </c>
      <c r="E21" s="8">
        <v>313.48</v>
      </c>
    </row>
    <row r="22" spans="1:5">
      <c r="A22" s="204" t="s">
        <v>7</v>
      </c>
      <c r="B22" s="6"/>
      <c r="C22" s="6"/>
      <c r="D22" s="207">
        <f>SUM(D19:D21)</f>
        <v>41.400000000000006</v>
      </c>
      <c r="E22" s="206">
        <f>SUM(E19:E21)</f>
        <v>1042.31</v>
      </c>
    </row>
    <row r="23" spans="1:5">
      <c r="A23" s="6"/>
      <c r="B23" s="6"/>
      <c r="C23" s="6"/>
      <c r="D23" s="7"/>
      <c r="E23" s="8"/>
    </row>
    <row r="24" spans="1:5">
      <c r="A24" s="6" t="s">
        <v>83</v>
      </c>
      <c r="B24" s="6" t="s">
        <v>157</v>
      </c>
      <c r="C24" s="6" t="s">
        <v>66</v>
      </c>
      <c r="D24" s="7">
        <v>16.899999999999999</v>
      </c>
      <c r="E24" s="8">
        <v>297.86</v>
      </c>
    </row>
    <row r="25" spans="1:5">
      <c r="A25" s="2" t="s">
        <v>200</v>
      </c>
      <c r="B25" s="3" t="s">
        <v>157</v>
      </c>
      <c r="C25" s="2" t="s">
        <v>66</v>
      </c>
      <c r="D25" s="7">
        <v>0.23</v>
      </c>
      <c r="E25" s="8">
        <v>3.5</v>
      </c>
    </row>
    <row r="26" spans="1:5">
      <c r="A26" s="6" t="s">
        <v>90</v>
      </c>
      <c r="B26" s="6" t="s">
        <v>157</v>
      </c>
      <c r="C26" s="6" t="s">
        <v>66</v>
      </c>
      <c r="D26" s="7">
        <v>15.87</v>
      </c>
      <c r="E26" s="8">
        <v>416.5</v>
      </c>
    </row>
    <row r="27" spans="1:5">
      <c r="A27" s="6" t="s">
        <v>73</v>
      </c>
      <c r="B27" s="6" t="s">
        <v>157</v>
      </c>
      <c r="C27" s="6" t="s">
        <v>66</v>
      </c>
      <c r="D27" s="7">
        <v>10.25</v>
      </c>
      <c r="E27" s="8">
        <v>161.59</v>
      </c>
    </row>
    <row r="28" spans="1:5">
      <c r="A28" s="6" t="s">
        <v>75</v>
      </c>
      <c r="B28" s="6" t="s">
        <v>157</v>
      </c>
      <c r="C28" s="6" t="s">
        <v>66</v>
      </c>
      <c r="D28" s="7">
        <v>0.47</v>
      </c>
      <c r="E28" s="8">
        <v>8.4</v>
      </c>
    </row>
    <row r="29" spans="1:5">
      <c r="A29" s="6" t="s">
        <v>74</v>
      </c>
      <c r="B29" s="6" t="s">
        <v>157</v>
      </c>
      <c r="C29" s="6" t="s">
        <v>66</v>
      </c>
      <c r="D29" s="7">
        <v>7.33</v>
      </c>
      <c r="E29" s="8">
        <v>143</v>
      </c>
    </row>
    <row r="30" spans="1:5">
      <c r="A30" s="6" t="s">
        <v>87</v>
      </c>
      <c r="B30" s="6" t="s">
        <v>157</v>
      </c>
      <c r="C30" s="6" t="s">
        <v>66</v>
      </c>
      <c r="D30" s="7">
        <v>19.72</v>
      </c>
      <c r="E30" s="8">
        <v>431.54</v>
      </c>
    </row>
    <row r="31" spans="1:5">
      <c r="A31" s="6" t="s">
        <v>89</v>
      </c>
      <c r="B31" s="6" t="s">
        <v>157</v>
      </c>
      <c r="C31" s="6" t="s">
        <v>66</v>
      </c>
      <c r="D31" s="7">
        <v>24.37</v>
      </c>
      <c r="E31" s="8">
        <v>420.33</v>
      </c>
    </row>
    <row r="32" spans="1:5">
      <c r="A32" s="6" t="s">
        <v>86</v>
      </c>
      <c r="B32" s="6" t="s">
        <v>157</v>
      </c>
      <c r="C32" s="6" t="s">
        <v>66</v>
      </c>
      <c r="D32" s="7">
        <v>21.45</v>
      </c>
      <c r="E32" s="8">
        <v>418.28</v>
      </c>
    </row>
    <row r="33" spans="1:5">
      <c r="A33" s="6" t="s">
        <v>84</v>
      </c>
      <c r="B33" s="6" t="s">
        <v>157</v>
      </c>
      <c r="C33" s="6" t="s">
        <v>66</v>
      </c>
      <c r="D33" s="7">
        <v>6.97</v>
      </c>
      <c r="E33" s="8">
        <v>120.18</v>
      </c>
    </row>
    <row r="34" spans="1:5">
      <c r="A34" s="6" t="s">
        <v>201</v>
      </c>
      <c r="B34" s="210" t="s">
        <v>157</v>
      </c>
      <c r="C34" s="6" t="s">
        <v>66</v>
      </c>
      <c r="D34" s="7">
        <v>0.27</v>
      </c>
      <c r="E34" s="8">
        <v>4.8</v>
      </c>
    </row>
    <row r="35" spans="1:5">
      <c r="A35" s="6" t="s">
        <v>85</v>
      </c>
      <c r="B35" s="6" t="s">
        <v>157</v>
      </c>
      <c r="C35" s="6" t="s">
        <v>66</v>
      </c>
      <c r="D35" s="7">
        <v>25.53</v>
      </c>
      <c r="E35" s="8">
        <v>497.9</v>
      </c>
    </row>
    <row r="36" spans="1:5">
      <c r="A36" s="6" t="s">
        <v>159</v>
      </c>
      <c r="B36" s="6" t="s">
        <v>157</v>
      </c>
      <c r="C36" s="6" t="s">
        <v>66</v>
      </c>
      <c r="D36" s="7">
        <v>3.92</v>
      </c>
      <c r="E36" s="8">
        <v>76.38</v>
      </c>
    </row>
    <row r="37" spans="1:5">
      <c r="A37" s="6" t="s">
        <v>88</v>
      </c>
      <c r="B37" s="6" t="s">
        <v>157</v>
      </c>
      <c r="C37" s="6" t="s">
        <v>66</v>
      </c>
      <c r="D37" s="7">
        <v>26.28</v>
      </c>
      <c r="E37" s="8">
        <v>453.39</v>
      </c>
    </row>
    <row r="38" spans="1:5">
      <c r="A38" s="6" t="s">
        <v>35</v>
      </c>
      <c r="B38" s="6" t="s">
        <v>157</v>
      </c>
      <c r="C38" s="6" t="s">
        <v>66</v>
      </c>
      <c r="D38" s="7">
        <v>19.87</v>
      </c>
      <c r="E38" s="8">
        <v>436.87</v>
      </c>
    </row>
    <row r="39" spans="1:5">
      <c r="A39" s="6" t="s">
        <v>79</v>
      </c>
      <c r="B39" s="6" t="s">
        <v>157</v>
      </c>
      <c r="C39" s="6" t="s">
        <v>66</v>
      </c>
      <c r="D39" s="7">
        <v>19.68</v>
      </c>
      <c r="E39" s="8">
        <v>457.64</v>
      </c>
    </row>
    <row r="40" spans="1:5">
      <c r="A40" s="6" t="s">
        <v>202</v>
      </c>
      <c r="B40" s="210" t="s">
        <v>157</v>
      </c>
      <c r="C40" s="6" t="s">
        <v>66</v>
      </c>
      <c r="D40" s="7">
        <v>6.47</v>
      </c>
      <c r="E40" s="8">
        <v>126.1</v>
      </c>
    </row>
    <row r="41" spans="1:5">
      <c r="A41" s="6" t="s">
        <v>160</v>
      </c>
      <c r="B41" s="6" t="s">
        <v>157</v>
      </c>
      <c r="C41" s="6" t="s">
        <v>66</v>
      </c>
      <c r="D41" s="7">
        <v>24.48</v>
      </c>
      <c r="E41" s="8">
        <v>477.43</v>
      </c>
    </row>
    <row r="42" spans="1:5">
      <c r="A42" s="6" t="s">
        <v>76</v>
      </c>
      <c r="B42" s="6" t="s">
        <v>157</v>
      </c>
      <c r="C42" s="6" t="s">
        <v>66</v>
      </c>
      <c r="D42" s="7">
        <v>4.5199999999999996</v>
      </c>
      <c r="E42" s="8">
        <v>81.3</v>
      </c>
    </row>
    <row r="43" spans="1:5">
      <c r="A43" s="6" t="s">
        <v>161</v>
      </c>
      <c r="B43" s="6" t="s">
        <v>157</v>
      </c>
      <c r="C43" s="6" t="s">
        <v>66</v>
      </c>
      <c r="D43" s="7">
        <v>2.2799999999999998</v>
      </c>
      <c r="E43" s="8">
        <v>44.53</v>
      </c>
    </row>
    <row r="44" spans="1:5">
      <c r="A44" s="6" t="s">
        <v>78</v>
      </c>
      <c r="B44" s="6" t="s">
        <v>157</v>
      </c>
      <c r="C44" s="6" t="s">
        <v>66</v>
      </c>
      <c r="D44" s="7">
        <v>2.0499999999999998</v>
      </c>
      <c r="E44" s="8">
        <v>36.78</v>
      </c>
    </row>
    <row r="45" spans="1:5">
      <c r="A45" s="204" t="s">
        <v>7</v>
      </c>
      <c r="B45" s="6"/>
      <c r="C45" s="6"/>
      <c r="D45" s="207">
        <f>SUM(D24:D44)</f>
        <v>258.91000000000003</v>
      </c>
      <c r="E45" s="206">
        <f>SUM(E24:E44)</f>
        <v>5114.3</v>
      </c>
    </row>
    <row r="46" spans="1:5">
      <c r="A46" s="6"/>
      <c r="B46" s="6"/>
      <c r="C46" s="6"/>
      <c r="D46" s="7"/>
      <c r="E46" s="8"/>
    </row>
    <row r="47" spans="1:5">
      <c r="A47" s="6" t="s">
        <v>52</v>
      </c>
      <c r="B47" s="6" t="s">
        <v>162</v>
      </c>
      <c r="C47" s="6" t="s">
        <v>51</v>
      </c>
      <c r="D47" s="7">
        <v>18.95</v>
      </c>
      <c r="E47" s="8">
        <v>412.16</v>
      </c>
    </row>
    <row r="48" spans="1:5">
      <c r="A48" s="6" t="s">
        <v>163</v>
      </c>
      <c r="B48" s="6" t="s">
        <v>162</v>
      </c>
      <c r="C48" s="6" t="s">
        <v>51</v>
      </c>
      <c r="D48" s="7">
        <v>58.4</v>
      </c>
      <c r="E48" s="8">
        <v>1401.6</v>
      </c>
    </row>
    <row r="49" spans="1:5">
      <c r="A49" s="6" t="s">
        <v>50</v>
      </c>
      <c r="B49" s="210" t="s">
        <v>162</v>
      </c>
      <c r="C49" s="6" t="s">
        <v>51</v>
      </c>
      <c r="D49" s="7">
        <v>0.85</v>
      </c>
      <c r="E49" s="8">
        <v>14.03</v>
      </c>
    </row>
    <row r="50" spans="1:5">
      <c r="A50" s="204" t="s">
        <v>7</v>
      </c>
      <c r="B50" s="6"/>
      <c r="C50" s="6"/>
      <c r="D50" s="207">
        <f>SUM(D47:D49)</f>
        <v>78.199999999999989</v>
      </c>
      <c r="E50" s="206">
        <f>SUM(E47:E49)</f>
        <v>1827.79</v>
      </c>
    </row>
    <row r="51" spans="1:5">
      <c r="A51" s="6"/>
      <c r="B51" s="6"/>
      <c r="C51" s="6"/>
      <c r="D51" s="7"/>
      <c r="E51" s="8"/>
    </row>
    <row r="52" spans="1:5">
      <c r="A52" s="2" t="s">
        <v>203</v>
      </c>
      <c r="B52" s="3" t="s">
        <v>164</v>
      </c>
      <c r="C52" s="2" t="s">
        <v>60</v>
      </c>
      <c r="D52" s="7">
        <v>4.25</v>
      </c>
      <c r="E52" s="8">
        <v>79.69</v>
      </c>
    </row>
    <row r="53" spans="1:5">
      <c r="A53" s="6" t="s">
        <v>63</v>
      </c>
      <c r="B53" s="6" t="s">
        <v>164</v>
      </c>
      <c r="C53" s="6" t="s">
        <v>60</v>
      </c>
      <c r="D53" s="7">
        <v>13.6</v>
      </c>
      <c r="E53" s="8">
        <v>234.6</v>
      </c>
    </row>
    <row r="54" spans="1:5">
      <c r="A54" s="6" t="s">
        <v>64</v>
      </c>
      <c r="B54" s="6" t="s">
        <v>164</v>
      </c>
      <c r="C54" s="6" t="s">
        <v>60</v>
      </c>
      <c r="D54" s="7">
        <v>11.15</v>
      </c>
      <c r="E54" s="8">
        <v>183.98</v>
      </c>
    </row>
    <row r="55" spans="1:5">
      <c r="A55" s="204" t="s">
        <v>7</v>
      </c>
      <c r="B55" s="6"/>
      <c r="C55" s="6"/>
      <c r="D55" s="207">
        <f>SUM(D52:D54)</f>
        <v>29</v>
      </c>
      <c r="E55" s="206">
        <f>SUM(E52:E54)</f>
        <v>498.27</v>
      </c>
    </row>
    <row r="56" spans="1:5">
      <c r="A56" s="2"/>
      <c r="B56" s="3"/>
      <c r="C56" s="2"/>
      <c r="D56" s="7"/>
      <c r="E56" s="8"/>
    </row>
    <row r="57" spans="1:5">
      <c r="A57" s="6" t="s">
        <v>166</v>
      </c>
      <c r="B57" s="6" t="s">
        <v>167</v>
      </c>
      <c r="C57" s="6" t="s">
        <v>54</v>
      </c>
      <c r="D57" s="7">
        <v>18.28</v>
      </c>
      <c r="E57" s="8">
        <v>411.38</v>
      </c>
    </row>
    <row r="58" spans="1:5">
      <c r="A58" s="6" t="s">
        <v>168</v>
      </c>
      <c r="B58" s="6" t="s">
        <v>167</v>
      </c>
      <c r="C58" s="6" t="s">
        <v>54</v>
      </c>
      <c r="D58" s="7">
        <v>21.05</v>
      </c>
      <c r="E58" s="8">
        <v>473.63</v>
      </c>
    </row>
    <row r="59" spans="1:5">
      <c r="A59" s="6" t="s">
        <v>169</v>
      </c>
      <c r="B59" s="6" t="s">
        <v>167</v>
      </c>
      <c r="C59" s="6" t="s">
        <v>54</v>
      </c>
      <c r="D59" s="7">
        <v>6.95</v>
      </c>
      <c r="E59" s="8">
        <v>156.38</v>
      </c>
    </row>
    <row r="60" spans="1:5">
      <c r="A60" s="6" t="s">
        <v>55</v>
      </c>
      <c r="B60" s="6" t="s">
        <v>167</v>
      </c>
      <c r="C60" s="6" t="s">
        <v>54</v>
      </c>
      <c r="D60" s="7">
        <v>10.63</v>
      </c>
      <c r="E60" s="8">
        <v>223.3</v>
      </c>
    </row>
    <row r="61" spans="1:5">
      <c r="A61" s="6" t="s">
        <v>58</v>
      </c>
      <c r="B61" s="6" t="s">
        <v>167</v>
      </c>
      <c r="C61" s="6" t="s">
        <v>54</v>
      </c>
      <c r="D61" s="7">
        <v>12.57</v>
      </c>
      <c r="E61" s="8">
        <v>311.02999999999997</v>
      </c>
    </row>
    <row r="62" spans="1:5">
      <c r="A62" s="6" t="s">
        <v>57</v>
      </c>
      <c r="B62" s="6" t="s">
        <v>167</v>
      </c>
      <c r="C62" s="6" t="s">
        <v>54</v>
      </c>
      <c r="D62" s="7">
        <v>6.45</v>
      </c>
      <c r="E62" s="8">
        <v>140.29</v>
      </c>
    </row>
    <row r="63" spans="1:5">
      <c r="A63" s="204" t="s">
        <v>7</v>
      </c>
      <c r="B63" s="6"/>
      <c r="C63" s="6"/>
      <c r="D63" s="207">
        <f>SUM(D57:D62)</f>
        <v>75.930000000000007</v>
      </c>
      <c r="E63" s="206">
        <f>SUM(E57:E62)</f>
        <v>1716.0099999999998</v>
      </c>
    </row>
    <row r="64" spans="1:5">
      <c r="A64" s="6"/>
      <c r="B64" s="6"/>
      <c r="C64" s="6"/>
      <c r="D64" s="7"/>
      <c r="E64" s="8"/>
    </row>
    <row r="65" spans="1:5">
      <c r="A65" s="6" t="s">
        <v>27</v>
      </c>
      <c r="B65" s="6" t="s">
        <v>171</v>
      </c>
      <c r="C65" s="6" t="s">
        <v>25</v>
      </c>
      <c r="D65" s="7">
        <v>5</v>
      </c>
      <c r="E65" s="8">
        <v>131.33000000000001</v>
      </c>
    </row>
    <row r="66" spans="1:5">
      <c r="A66" s="2" t="s">
        <v>204</v>
      </c>
      <c r="B66" s="3" t="s">
        <v>171</v>
      </c>
      <c r="C66" s="2" t="s">
        <v>25</v>
      </c>
      <c r="D66" s="7">
        <v>1.17</v>
      </c>
      <c r="E66" s="8">
        <v>19.25</v>
      </c>
    </row>
    <row r="67" spans="1:5">
      <c r="A67" s="6" t="s">
        <v>24</v>
      </c>
      <c r="B67" s="6" t="s">
        <v>171</v>
      </c>
      <c r="C67" s="6" t="s">
        <v>25</v>
      </c>
      <c r="D67" s="7">
        <v>1.07</v>
      </c>
      <c r="E67" s="8">
        <v>28</v>
      </c>
    </row>
    <row r="68" spans="1:5">
      <c r="A68" s="6" t="s">
        <v>26</v>
      </c>
      <c r="B68" s="6" t="s">
        <v>171</v>
      </c>
      <c r="C68" s="6" t="s">
        <v>25</v>
      </c>
      <c r="D68" s="7">
        <v>4.45</v>
      </c>
      <c r="E68" s="8">
        <v>117.48</v>
      </c>
    </row>
    <row r="69" spans="1:5">
      <c r="A69" s="204" t="s">
        <v>7</v>
      </c>
      <c r="B69" s="6"/>
      <c r="C69" s="6"/>
      <c r="D69" s="207">
        <f>SUM(D65:D68)</f>
        <v>11.690000000000001</v>
      </c>
      <c r="E69" s="206">
        <f>SUM(E65:E68)</f>
        <v>296.06</v>
      </c>
    </row>
    <row r="70" spans="1:5">
      <c r="A70" s="6"/>
      <c r="B70" s="6"/>
      <c r="C70" s="6"/>
      <c r="D70" s="7"/>
      <c r="E70" s="8"/>
    </row>
    <row r="71" spans="1:5">
      <c r="A71" s="6" t="s">
        <v>11</v>
      </c>
      <c r="B71" s="6" t="s">
        <v>172</v>
      </c>
      <c r="C71" s="6" t="s">
        <v>12</v>
      </c>
      <c r="D71" s="7">
        <v>6.32</v>
      </c>
      <c r="E71" s="8">
        <v>203.71</v>
      </c>
    </row>
    <row r="72" spans="1:5">
      <c r="A72" s="6" t="s">
        <v>13</v>
      </c>
      <c r="B72" s="6" t="s">
        <v>172</v>
      </c>
      <c r="C72" s="6" t="s">
        <v>12</v>
      </c>
      <c r="D72" s="7">
        <v>15.62</v>
      </c>
      <c r="E72" s="8">
        <v>563.14</v>
      </c>
    </row>
    <row r="73" spans="1:5">
      <c r="A73" s="204" t="s">
        <v>7</v>
      </c>
      <c r="B73" s="6"/>
      <c r="C73" s="6"/>
      <c r="D73" s="207">
        <f>SUM(D71:D72)</f>
        <v>21.939999999999998</v>
      </c>
      <c r="E73" s="206">
        <f>SUM(E71:E72)</f>
        <v>766.85</v>
      </c>
    </row>
    <row r="74" spans="1:5">
      <c r="A74" s="204"/>
      <c r="B74" s="6"/>
      <c r="C74" s="6"/>
      <c r="D74" s="207"/>
      <c r="E74" s="206"/>
    </row>
    <row r="75" spans="1:5">
      <c r="A75" s="6" t="s">
        <v>205</v>
      </c>
      <c r="B75" s="6">
        <v>100035</v>
      </c>
      <c r="C75" s="6" t="s">
        <v>206</v>
      </c>
      <c r="D75" s="7">
        <v>3.67</v>
      </c>
      <c r="E75" s="8">
        <v>105.77</v>
      </c>
    </row>
    <row r="76" spans="1:5">
      <c r="A76" s="204" t="s">
        <v>7</v>
      </c>
      <c r="B76" s="6"/>
      <c r="C76" s="6"/>
      <c r="D76" s="207">
        <f>SUM(D75)</f>
        <v>3.67</v>
      </c>
      <c r="E76" s="206">
        <f>SUM(E75)</f>
        <v>105.77</v>
      </c>
    </row>
    <row r="77" spans="1:5">
      <c r="A77" s="6"/>
      <c r="B77" s="6"/>
      <c r="C77" s="6"/>
      <c r="D77" s="7"/>
      <c r="E77" s="8"/>
    </row>
    <row r="78" spans="1:5">
      <c r="A78" s="6" t="s">
        <v>173</v>
      </c>
      <c r="B78" s="6" t="s">
        <v>174</v>
      </c>
      <c r="C78" s="6" t="s">
        <v>34</v>
      </c>
      <c r="D78" s="7"/>
      <c r="E78" s="8"/>
    </row>
    <row r="79" spans="1:5">
      <c r="A79" s="6" t="s">
        <v>175</v>
      </c>
      <c r="B79" s="6" t="s">
        <v>174</v>
      </c>
      <c r="C79" s="6" t="s">
        <v>34</v>
      </c>
      <c r="D79" s="7">
        <v>5.55</v>
      </c>
      <c r="E79" s="8">
        <v>89.49</v>
      </c>
    </row>
    <row r="80" spans="1:5">
      <c r="A80" s="2" t="s">
        <v>36</v>
      </c>
      <c r="B80" s="6">
        <v>100051</v>
      </c>
      <c r="C80" s="2" t="s">
        <v>34</v>
      </c>
      <c r="D80" s="7">
        <v>33.1</v>
      </c>
      <c r="E80" s="8">
        <v>695.1</v>
      </c>
    </row>
    <row r="81" spans="1:5">
      <c r="A81" s="6" t="s">
        <v>37</v>
      </c>
      <c r="B81" s="6" t="s">
        <v>174</v>
      </c>
      <c r="C81" s="6" t="s">
        <v>34</v>
      </c>
      <c r="D81" s="7">
        <f>7.17+13.02</f>
        <v>20.189999999999998</v>
      </c>
      <c r="E81" s="8">
        <f>148.03+268.86</f>
        <v>416.89</v>
      </c>
    </row>
    <row r="82" spans="1:5">
      <c r="A82" s="204" t="s">
        <v>7</v>
      </c>
      <c r="B82" s="6"/>
      <c r="C82" s="6"/>
      <c r="D82" s="207">
        <f>SUM(D78:D81)</f>
        <v>58.839999999999996</v>
      </c>
      <c r="E82" s="206">
        <f>SUM(E78:E81)</f>
        <v>1201.48</v>
      </c>
    </row>
    <row r="83" spans="1:5">
      <c r="A83" s="6"/>
      <c r="B83" s="6"/>
      <c r="C83" s="6"/>
      <c r="D83" s="7"/>
      <c r="E83" s="8"/>
    </row>
    <row r="84" spans="1:5">
      <c r="A84" s="6" t="s">
        <v>136</v>
      </c>
      <c r="B84" s="6" t="s">
        <v>177</v>
      </c>
      <c r="C84" s="6" t="s">
        <v>137</v>
      </c>
      <c r="D84" s="7">
        <v>0.53</v>
      </c>
      <c r="E84" s="8">
        <v>15.2</v>
      </c>
    </row>
    <row r="85" spans="1:5">
      <c r="A85" s="204" t="s">
        <v>7</v>
      </c>
      <c r="B85" s="6"/>
      <c r="C85" s="6"/>
      <c r="D85" s="207">
        <f>SUM(D84)</f>
        <v>0.53</v>
      </c>
      <c r="E85" s="206">
        <f>SUM(E84)</f>
        <v>15.2</v>
      </c>
    </row>
    <row r="86" spans="1:5">
      <c r="A86" s="6"/>
      <c r="B86" s="6"/>
      <c r="C86" s="6"/>
      <c r="D86" s="7"/>
      <c r="E86" s="8"/>
    </row>
    <row r="87" spans="1:5">
      <c r="A87" s="6" t="s">
        <v>145</v>
      </c>
      <c r="B87" s="6" t="s">
        <v>178</v>
      </c>
      <c r="C87" s="6" t="s">
        <v>146</v>
      </c>
      <c r="D87" s="7">
        <v>0.63</v>
      </c>
      <c r="E87" s="8">
        <v>18.27</v>
      </c>
    </row>
    <row r="88" spans="1:5">
      <c r="A88" s="204" t="s">
        <v>7</v>
      </c>
      <c r="B88" s="6"/>
      <c r="C88" s="6"/>
      <c r="D88" s="207">
        <f>SUM(D87)</f>
        <v>0.63</v>
      </c>
      <c r="E88" s="206">
        <f>SUM(E87)</f>
        <v>18.27</v>
      </c>
    </row>
    <row r="89" spans="1:5">
      <c r="A89" s="6"/>
      <c r="B89" s="6"/>
      <c r="C89" s="6"/>
      <c r="D89" s="7"/>
      <c r="E89" s="8"/>
    </row>
    <row r="90" spans="1:5">
      <c r="A90" s="6" t="s">
        <v>143</v>
      </c>
      <c r="B90" s="6" t="s">
        <v>179</v>
      </c>
      <c r="C90" s="6" t="s">
        <v>141</v>
      </c>
      <c r="D90" s="7">
        <v>5.13</v>
      </c>
      <c r="E90" s="8">
        <v>96.33</v>
      </c>
    </row>
    <row r="91" spans="1:5">
      <c r="A91" s="6" t="s">
        <v>144</v>
      </c>
      <c r="B91" s="6" t="s">
        <v>179</v>
      </c>
      <c r="C91" s="6" t="s">
        <v>141</v>
      </c>
      <c r="D91" s="7">
        <v>3.13</v>
      </c>
      <c r="E91" s="8">
        <v>54.72</v>
      </c>
    </row>
    <row r="92" spans="1:5">
      <c r="A92" s="204" t="s">
        <v>7</v>
      </c>
      <c r="B92" s="6"/>
      <c r="C92" s="6"/>
      <c r="D92" s="207">
        <f>SUM(D90:D91)</f>
        <v>8.26</v>
      </c>
      <c r="E92" s="206">
        <f>SUM(E90:E91)</f>
        <v>151.05000000000001</v>
      </c>
    </row>
    <row r="93" spans="1:5">
      <c r="A93" s="6"/>
      <c r="B93" s="6"/>
      <c r="C93" s="6"/>
      <c r="D93" s="7"/>
      <c r="E93" s="8"/>
    </row>
    <row r="94" spans="1:5">
      <c r="A94" s="6" t="s">
        <v>95</v>
      </c>
      <c r="B94" s="6" t="s">
        <v>180</v>
      </c>
      <c r="C94" s="6" t="s">
        <v>96</v>
      </c>
      <c r="D94" s="7">
        <v>9.4499999999999993</v>
      </c>
      <c r="E94" s="8">
        <v>255.01</v>
      </c>
    </row>
    <row r="95" spans="1:5">
      <c r="A95" s="204" t="s">
        <v>7</v>
      </c>
      <c r="B95" s="6"/>
      <c r="C95" s="6"/>
      <c r="D95" s="207">
        <f>SUM(D94)</f>
        <v>9.4499999999999993</v>
      </c>
      <c r="E95" s="206">
        <f>SUM(E94)</f>
        <v>255.01</v>
      </c>
    </row>
    <row r="96" spans="1:5">
      <c r="A96" s="6"/>
      <c r="B96" s="6"/>
      <c r="C96" s="6"/>
      <c r="D96" s="7"/>
      <c r="E96" s="8"/>
    </row>
    <row r="97" spans="1:5">
      <c r="A97" s="6" t="s">
        <v>99</v>
      </c>
      <c r="B97" s="6" t="s">
        <v>181</v>
      </c>
      <c r="C97" s="6" t="s">
        <v>98</v>
      </c>
      <c r="D97" s="7">
        <v>2.95</v>
      </c>
      <c r="E97" s="8">
        <v>66.38</v>
      </c>
    </row>
    <row r="98" spans="1:5">
      <c r="A98" s="6" t="s">
        <v>97</v>
      </c>
      <c r="B98" s="6" t="s">
        <v>181</v>
      </c>
      <c r="C98" s="6" t="s">
        <v>98</v>
      </c>
      <c r="D98" s="7">
        <v>1.98</v>
      </c>
      <c r="E98" s="8">
        <v>58.93</v>
      </c>
    </row>
    <row r="99" spans="1:5">
      <c r="A99" s="204" t="s">
        <v>7</v>
      </c>
      <c r="B99" s="6"/>
      <c r="C99" s="6"/>
      <c r="D99" s="207">
        <f>SUM(D97:D98)</f>
        <v>4.93</v>
      </c>
      <c r="E99" s="206">
        <f>SUM(E97:E98)</f>
        <v>125.31</v>
      </c>
    </row>
    <row r="100" spans="1:5">
      <c r="A100" s="6"/>
      <c r="B100" s="6"/>
      <c r="C100" s="6"/>
      <c r="D100" s="7"/>
      <c r="E100" s="8"/>
    </row>
    <row r="101" spans="1:5">
      <c r="A101" s="6" t="s">
        <v>100</v>
      </c>
      <c r="B101" s="6" t="s">
        <v>182</v>
      </c>
      <c r="C101" s="6" t="s">
        <v>101</v>
      </c>
      <c r="D101" s="7">
        <v>1.58</v>
      </c>
      <c r="E101" s="8">
        <v>45.91</v>
      </c>
    </row>
    <row r="102" spans="1:5">
      <c r="A102" s="204" t="s">
        <v>7</v>
      </c>
      <c r="B102" s="6"/>
      <c r="C102" s="6"/>
      <c r="D102" s="207">
        <f>SUM(D101:D101)</f>
        <v>1.58</v>
      </c>
      <c r="E102" s="206">
        <f>SUM(E101:E101)</f>
        <v>45.91</v>
      </c>
    </row>
    <row r="103" spans="1:5">
      <c r="A103" s="6"/>
      <c r="B103" s="6"/>
      <c r="C103" s="6"/>
      <c r="D103" s="7"/>
      <c r="E103" s="8"/>
    </row>
    <row r="104" spans="1:5">
      <c r="A104" s="6" t="s">
        <v>133</v>
      </c>
      <c r="B104" s="6" t="s">
        <v>185</v>
      </c>
      <c r="C104" s="6" t="s">
        <v>134</v>
      </c>
      <c r="D104" s="7">
        <v>7.05</v>
      </c>
      <c r="E104" s="8">
        <v>148.05000000000001</v>
      </c>
    </row>
    <row r="105" spans="1:5">
      <c r="A105" s="204" t="s">
        <v>7</v>
      </c>
      <c r="B105" s="6"/>
      <c r="C105" s="6"/>
      <c r="D105" s="207">
        <f>SUM(D104)</f>
        <v>7.05</v>
      </c>
      <c r="E105" s="206">
        <f>SUM(E104)</f>
        <v>148.05000000000001</v>
      </c>
    </row>
    <row r="106" spans="1:5">
      <c r="A106" s="6"/>
      <c r="B106" s="6"/>
      <c r="C106" s="6"/>
      <c r="D106" s="7"/>
      <c r="E106" s="8"/>
    </row>
    <row r="107" spans="1:5">
      <c r="A107" s="2" t="s">
        <v>123</v>
      </c>
      <c r="B107" s="6">
        <v>450045</v>
      </c>
      <c r="C107" s="2" t="s">
        <v>131</v>
      </c>
      <c r="D107" s="7">
        <f>38.58+5.57+2.03</f>
        <v>46.18</v>
      </c>
      <c r="E107" s="8">
        <f>651.09+93.94+34.31</f>
        <v>779.33999999999992</v>
      </c>
    </row>
    <row r="108" spans="1:5">
      <c r="A108" s="6" t="s">
        <v>132</v>
      </c>
      <c r="B108" s="6" t="s">
        <v>186</v>
      </c>
      <c r="C108" s="6" t="s">
        <v>131</v>
      </c>
      <c r="D108" s="7">
        <v>22.63</v>
      </c>
      <c r="E108" s="8">
        <v>400.61</v>
      </c>
    </row>
    <row r="109" spans="1:5">
      <c r="A109" s="6" t="s">
        <v>106</v>
      </c>
      <c r="B109" s="6" t="s">
        <v>186</v>
      </c>
      <c r="C109" s="6" t="s">
        <v>131</v>
      </c>
      <c r="D109" s="7">
        <v>40.83</v>
      </c>
      <c r="E109" s="8">
        <v>673.75</v>
      </c>
    </row>
    <row r="110" spans="1:5">
      <c r="A110" s="204" t="s">
        <v>7</v>
      </c>
      <c r="B110" s="6"/>
      <c r="C110" s="6"/>
      <c r="D110" s="207">
        <f>SUM(D107:D109)</f>
        <v>109.64</v>
      </c>
      <c r="E110" s="206">
        <f>SUM(E107:E109)</f>
        <v>1853.6999999999998</v>
      </c>
    </row>
    <row r="111" spans="1:5">
      <c r="A111" s="6"/>
      <c r="B111" s="6"/>
      <c r="C111" s="6"/>
      <c r="D111" s="7"/>
      <c r="E111" s="8"/>
    </row>
    <row r="112" spans="1:5">
      <c r="A112" s="6" t="s">
        <v>127</v>
      </c>
      <c r="B112" s="6" t="s">
        <v>187</v>
      </c>
      <c r="C112" s="6" t="s">
        <v>128</v>
      </c>
      <c r="D112" s="7">
        <v>34.630000000000003</v>
      </c>
      <c r="E112" s="8">
        <v>935.1</v>
      </c>
    </row>
    <row r="113" spans="1:5">
      <c r="A113" s="204" t="s">
        <v>7</v>
      </c>
      <c r="B113" s="6"/>
      <c r="C113" s="6"/>
      <c r="D113" s="207">
        <v>34.630000000000003</v>
      </c>
      <c r="E113" s="206">
        <v>935.1</v>
      </c>
    </row>
    <row r="114" spans="1:5">
      <c r="A114" s="6"/>
      <c r="B114" s="6"/>
      <c r="C114" s="6"/>
      <c r="D114" s="7"/>
      <c r="E114" s="8"/>
    </row>
    <row r="115" spans="1:5">
      <c r="A115" s="6" t="s">
        <v>130</v>
      </c>
      <c r="B115" s="6" t="s">
        <v>188</v>
      </c>
      <c r="C115" s="6" t="s">
        <v>129</v>
      </c>
      <c r="D115" s="7">
        <v>48.03</v>
      </c>
      <c r="E115" s="8">
        <v>744.28</v>
      </c>
    </row>
    <row r="116" spans="1:5">
      <c r="A116" s="6" t="s">
        <v>121</v>
      </c>
      <c r="B116" s="6" t="s">
        <v>188</v>
      </c>
      <c r="C116" s="6" t="s">
        <v>129</v>
      </c>
      <c r="D116" s="7">
        <v>52.07</v>
      </c>
      <c r="E116" s="8">
        <v>1220.7</v>
      </c>
    </row>
    <row r="117" spans="1:5">
      <c r="A117" s="204" t="s">
        <v>7</v>
      </c>
      <c r="B117" s="6"/>
      <c r="C117" s="6"/>
      <c r="D117" s="207">
        <f>SUM(D115:D116)</f>
        <v>100.1</v>
      </c>
      <c r="E117" s="206">
        <f>SUM(E115:E116)</f>
        <v>1964.98</v>
      </c>
    </row>
    <row r="118" spans="1:5">
      <c r="A118" s="6"/>
      <c r="B118" s="6"/>
      <c r="C118" s="6"/>
      <c r="D118" s="7"/>
      <c r="E118" s="8"/>
    </row>
    <row r="119" spans="1:5">
      <c r="A119" s="6" t="s">
        <v>108</v>
      </c>
      <c r="B119" s="6" t="s">
        <v>189</v>
      </c>
      <c r="C119" s="6" t="s">
        <v>104</v>
      </c>
      <c r="D119" s="7">
        <v>45.65</v>
      </c>
      <c r="E119" s="8">
        <f>479.87+223.37</f>
        <v>703.24</v>
      </c>
    </row>
    <row r="120" spans="1:5">
      <c r="A120" s="6" t="s">
        <v>190</v>
      </c>
      <c r="B120" s="6" t="s">
        <v>189</v>
      </c>
      <c r="C120" s="6" t="s">
        <v>104</v>
      </c>
      <c r="D120" s="7">
        <v>19.7</v>
      </c>
      <c r="E120" s="8">
        <v>257.68</v>
      </c>
    </row>
    <row r="121" spans="1:5">
      <c r="A121" s="6" t="s">
        <v>109</v>
      </c>
      <c r="B121" s="6" t="s">
        <v>189</v>
      </c>
      <c r="C121" s="6" t="s">
        <v>104</v>
      </c>
      <c r="D121" s="7">
        <v>31.28</v>
      </c>
      <c r="E121" s="8">
        <f>317.82+109.2</f>
        <v>427.02</v>
      </c>
    </row>
    <row r="122" spans="1:5">
      <c r="A122" s="6" t="s">
        <v>115</v>
      </c>
      <c r="B122" s="6" t="s">
        <v>189</v>
      </c>
      <c r="C122" s="6" t="s">
        <v>104</v>
      </c>
      <c r="D122" s="7">
        <v>53.6</v>
      </c>
      <c r="E122" s="8">
        <f>542.5+322.13</f>
        <v>864.63</v>
      </c>
    </row>
    <row r="123" spans="1:5">
      <c r="A123" s="6" t="s">
        <v>119</v>
      </c>
      <c r="B123" s="6" t="s">
        <v>189</v>
      </c>
      <c r="C123" s="6" t="s">
        <v>104</v>
      </c>
      <c r="D123" s="7">
        <v>54.38</v>
      </c>
      <c r="E123" s="8">
        <f>674.64+213.72</f>
        <v>888.36</v>
      </c>
    </row>
    <row r="124" spans="1:5">
      <c r="A124" s="6" t="s">
        <v>103</v>
      </c>
      <c r="B124" s="6" t="s">
        <v>189</v>
      </c>
      <c r="C124" s="6" t="s">
        <v>104</v>
      </c>
      <c r="D124" s="7">
        <f>11.22+13.48</f>
        <v>24.700000000000003</v>
      </c>
      <c r="E124" s="8">
        <f>157.48+189.31</f>
        <v>346.78999999999996</v>
      </c>
    </row>
    <row r="125" spans="1:5">
      <c r="A125" s="6" t="s">
        <v>117</v>
      </c>
      <c r="B125" s="6" t="s">
        <v>189</v>
      </c>
      <c r="C125" s="6" t="s">
        <v>104</v>
      </c>
      <c r="D125" s="7">
        <v>50.62</v>
      </c>
      <c r="E125" s="8">
        <v>806.32</v>
      </c>
    </row>
    <row r="126" spans="1:5">
      <c r="A126" s="6" t="s">
        <v>122</v>
      </c>
      <c r="B126" s="6" t="s">
        <v>189</v>
      </c>
      <c r="C126" s="6" t="s">
        <v>104</v>
      </c>
      <c r="D126" s="7">
        <v>38.729999999999997</v>
      </c>
      <c r="E126" s="8">
        <v>532.20000000000005</v>
      </c>
    </row>
    <row r="127" spans="1:5">
      <c r="A127" s="6" t="s">
        <v>113</v>
      </c>
      <c r="B127" s="6" t="s">
        <v>189</v>
      </c>
      <c r="C127" s="6" t="s">
        <v>104</v>
      </c>
      <c r="D127" s="7">
        <f>20.52+16.32</f>
        <v>36.840000000000003</v>
      </c>
      <c r="E127" s="8">
        <f>262.85+209.51</f>
        <v>472.36</v>
      </c>
    </row>
    <row r="128" spans="1:5">
      <c r="A128" s="6" t="s">
        <v>111</v>
      </c>
      <c r="B128" s="6" t="s">
        <v>189</v>
      </c>
      <c r="C128" s="6" t="s">
        <v>104</v>
      </c>
      <c r="D128" s="7">
        <f>27.18+18.45</f>
        <v>45.629999999999995</v>
      </c>
      <c r="E128" s="8">
        <f>390.62+265.13</f>
        <v>655.75</v>
      </c>
    </row>
    <row r="129" spans="1:5">
      <c r="A129" s="6" t="s">
        <v>120</v>
      </c>
      <c r="B129" s="6" t="s">
        <v>189</v>
      </c>
      <c r="C129" s="6" t="s">
        <v>104</v>
      </c>
      <c r="D129" s="7">
        <f>14.73+45.02</f>
        <v>59.75</v>
      </c>
      <c r="E129" s="8">
        <f>255.03+779.24</f>
        <v>1034.27</v>
      </c>
    </row>
    <row r="130" spans="1:5">
      <c r="A130" s="6" t="s">
        <v>114</v>
      </c>
      <c r="B130" s="6" t="s">
        <v>189</v>
      </c>
      <c r="C130" s="6" t="s">
        <v>104</v>
      </c>
      <c r="D130" s="7">
        <f>16.05+8.3</f>
        <v>24.35</v>
      </c>
      <c r="E130" s="8">
        <f>210.66+108.94</f>
        <v>319.60000000000002</v>
      </c>
    </row>
    <row r="131" spans="1:5">
      <c r="A131" s="6" t="s">
        <v>110</v>
      </c>
      <c r="B131" s="6">
        <v>450051</v>
      </c>
      <c r="C131" s="6" t="s">
        <v>104</v>
      </c>
      <c r="D131" s="7">
        <v>54.53</v>
      </c>
      <c r="E131" s="8">
        <v>902.25</v>
      </c>
    </row>
    <row r="132" spans="1:5">
      <c r="A132" s="6" t="s">
        <v>191</v>
      </c>
      <c r="B132" s="6" t="s">
        <v>189</v>
      </c>
      <c r="C132" s="6" t="s">
        <v>104</v>
      </c>
      <c r="D132" s="7">
        <f>24.57+22.58</f>
        <v>47.15</v>
      </c>
      <c r="E132" s="8">
        <f>354.87+326.22</f>
        <v>681.09</v>
      </c>
    </row>
    <row r="133" spans="1:5">
      <c r="A133" s="6" t="s">
        <v>112</v>
      </c>
      <c r="B133" s="6" t="s">
        <v>189</v>
      </c>
      <c r="C133" s="6" t="s">
        <v>104</v>
      </c>
      <c r="D133" s="7">
        <v>51.4</v>
      </c>
      <c r="E133" s="8">
        <v>848.1</v>
      </c>
    </row>
    <row r="134" spans="1:5">
      <c r="A134" s="6" t="s">
        <v>116</v>
      </c>
      <c r="B134" s="6" t="s">
        <v>189</v>
      </c>
      <c r="C134" s="6" t="s">
        <v>104</v>
      </c>
      <c r="D134" s="7">
        <f>22.6+16.4</f>
        <v>39</v>
      </c>
      <c r="E134" s="8">
        <f>305.1+221.4</f>
        <v>526.5</v>
      </c>
    </row>
    <row r="135" spans="1:5">
      <c r="A135" s="6" t="s">
        <v>118</v>
      </c>
      <c r="B135" s="6" t="s">
        <v>189</v>
      </c>
      <c r="C135" s="6" t="s">
        <v>104</v>
      </c>
      <c r="D135" s="7">
        <f>52.28+14.08</f>
        <v>66.36</v>
      </c>
      <c r="E135" s="8">
        <f>1019.53+274.63</f>
        <v>1294.1599999999999</v>
      </c>
    </row>
    <row r="136" spans="1:5">
      <c r="A136" s="6" t="s">
        <v>124</v>
      </c>
      <c r="B136" s="6" t="s">
        <v>189</v>
      </c>
      <c r="C136" s="6" t="s">
        <v>104</v>
      </c>
      <c r="D136" s="7">
        <f>6.72+52.58</f>
        <v>59.3</v>
      </c>
      <c r="E136" s="8">
        <f>151.13+1183.13</f>
        <v>1334.2600000000002</v>
      </c>
    </row>
    <row r="137" spans="1:5">
      <c r="A137" s="6" t="s">
        <v>105</v>
      </c>
      <c r="B137" s="6">
        <v>450051</v>
      </c>
      <c r="C137" s="6" t="s">
        <v>104</v>
      </c>
      <c r="D137" s="7">
        <f>16.9+7.37</f>
        <v>24.27</v>
      </c>
      <c r="E137" s="8">
        <f>275.3+120</f>
        <v>395.3</v>
      </c>
    </row>
    <row r="138" spans="1:5">
      <c r="A138" s="204" t="s">
        <v>7</v>
      </c>
      <c r="B138" s="6"/>
      <c r="C138" s="6"/>
      <c r="D138" s="207">
        <f>SUM(D119:D137)</f>
        <v>827.2399999999999</v>
      </c>
      <c r="E138" s="206">
        <f>SUM(E119:E137)</f>
        <v>13289.88</v>
      </c>
    </row>
    <row r="139" spans="1:5">
      <c r="A139" s="204"/>
      <c r="B139" s="6"/>
      <c r="C139" s="6"/>
      <c r="D139" s="207"/>
      <c r="E139" s="206"/>
    </row>
    <row r="140" spans="1:5">
      <c r="A140" s="6" t="s">
        <v>207</v>
      </c>
      <c r="B140" s="6">
        <v>450052</v>
      </c>
      <c r="C140" s="6" t="s">
        <v>126</v>
      </c>
      <c r="D140" s="7">
        <v>0.87</v>
      </c>
      <c r="E140" s="8">
        <v>19.5</v>
      </c>
    </row>
    <row r="141" spans="1:5">
      <c r="A141" s="204" t="s">
        <v>7</v>
      </c>
      <c r="B141" s="6"/>
      <c r="C141" s="6"/>
      <c r="D141" s="207">
        <f>SUM(D140)</f>
        <v>0.87</v>
      </c>
      <c r="E141" s="206">
        <f>SUM(E140)</f>
        <v>19.5</v>
      </c>
    </row>
    <row r="142" spans="1:5">
      <c r="A142" s="204"/>
      <c r="B142" s="6"/>
      <c r="C142" s="6"/>
      <c r="D142" s="207"/>
      <c r="E142" s="206"/>
    </row>
    <row r="143" spans="1:5">
      <c r="A143" s="6" t="s">
        <v>39</v>
      </c>
      <c r="B143" s="6">
        <v>550051</v>
      </c>
      <c r="C143" s="6" t="s">
        <v>208</v>
      </c>
      <c r="D143" s="7">
        <v>6.63</v>
      </c>
      <c r="E143" s="8">
        <v>146.36000000000001</v>
      </c>
    </row>
    <row r="144" spans="1:5">
      <c r="A144" s="204" t="s">
        <v>7</v>
      </c>
      <c r="B144" s="6"/>
      <c r="C144" s="6"/>
      <c r="D144" s="207">
        <f>SUM(D143)</f>
        <v>6.63</v>
      </c>
      <c r="E144" s="206">
        <f>SUM(E143)</f>
        <v>146.36000000000001</v>
      </c>
    </row>
    <row r="145" spans="1:5">
      <c r="A145" s="6"/>
      <c r="B145" s="6"/>
      <c r="C145" s="6"/>
      <c r="D145" s="7"/>
      <c r="E145" s="8"/>
    </row>
    <row r="146" spans="1:5">
      <c r="A146" s="6" t="s">
        <v>41</v>
      </c>
      <c r="B146" s="6" t="s">
        <v>192</v>
      </c>
      <c r="C146" s="6" t="s">
        <v>193</v>
      </c>
      <c r="D146" s="7">
        <v>16.37</v>
      </c>
      <c r="E146" s="8">
        <v>371.69</v>
      </c>
    </row>
    <row r="147" spans="1:5">
      <c r="A147" s="204" t="s">
        <v>7</v>
      </c>
      <c r="B147" s="6"/>
      <c r="C147" s="6"/>
      <c r="D147" s="207">
        <f>SUM(D146)</f>
        <v>16.37</v>
      </c>
      <c r="E147" s="206">
        <f>SUM(E146)</f>
        <v>371.69</v>
      </c>
    </row>
    <row r="148" spans="1:5">
      <c r="A148" s="6"/>
      <c r="B148" s="6"/>
      <c r="C148" s="6"/>
      <c r="D148" s="7"/>
      <c r="E148" s="8"/>
    </row>
    <row r="149" spans="1:5">
      <c r="D149" s="4"/>
      <c r="E149" s="5"/>
    </row>
    <row r="150" spans="1:5">
      <c r="A150" s="1" t="s">
        <v>194</v>
      </c>
      <c r="D150" s="208">
        <f>D7+D10+D14+D17+D22+D45+D50+D55+D63+D69+D73+D76+D82+D85+D88+D92+D95+D99+D102+D105+D110+D113+D117+D138+D141+D144+D147</f>
        <v>1791.1699999999996</v>
      </c>
      <c r="E150" s="211">
        <f>E7+E10+E14+E17+E22+E45+E50+E55+E63+E69+E73+E76+E82+E85+E88+E92+E95+E99+E102+E105+E110+E113+E117+E138+E141+E144+E147</f>
        <v>33895.370000000003</v>
      </c>
    </row>
  </sheetData>
  <phoneticPr fontId="0" type="noConversion"/>
  <pageMargins left="0.75" right="0.75" top="1" bottom="1" header="0.5" footer="0.5"/>
  <pageSetup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124"/>
  <sheetViews>
    <sheetView topLeftCell="A64" workbookViewId="0">
      <selection activeCell="F14" sqref="F14"/>
    </sheetView>
  </sheetViews>
  <sheetFormatPr defaultRowHeight="12.75"/>
  <cols>
    <col min="1" max="1" width="31.7109375" style="20" customWidth="1"/>
    <col min="2" max="2" width="22.7109375" style="20" customWidth="1"/>
    <col min="3" max="3" width="36.7109375" style="20" customWidth="1"/>
    <col min="4" max="4" width="22.7109375" style="20" customWidth="1"/>
    <col min="5" max="5" width="25.7109375" style="20" customWidth="1"/>
    <col min="6" max="6" width="22.28515625" bestFit="1" customWidth="1"/>
    <col min="7" max="7" width="16.7109375" customWidth="1"/>
    <col min="8" max="8" width="17.28515625" bestFit="1" customWidth="1"/>
    <col min="9" max="9" width="12.7109375" customWidth="1"/>
    <col min="10" max="10" width="14.42578125" customWidth="1"/>
  </cols>
  <sheetData>
    <row r="1" spans="1:10">
      <c r="A1" s="19" t="s">
        <v>147</v>
      </c>
      <c r="B1" s="19" t="s">
        <v>148</v>
      </c>
      <c r="C1" s="19" t="s">
        <v>149</v>
      </c>
      <c r="D1" s="19" t="s">
        <v>150</v>
      </c>
      <c r="E1" s="19" t="s">
        <v>151</v>
      </c>
      <c r="F1" s="11" t="s">
        <v>258</v>
      </c>
      <c r="G1" s="38" t="s">
        <v>259</v>
      </c>
      <c r="H1" s="88" t="s">
        <v>334</v>
      </c>
      <c r="I1" s="40" t="s">
        <v>260</v>
      </c>
      <c r="J1" s="39" t="s">
        <v>261</v>
      </c>
    </row>
    <row r="2" spans="1:10">
      <c r="A2" s="20" t="s">
        <v>20</v>
      </c>
      <c r="B2" s="20" t="s">
        <v>152</v>
      </c>
      <c r="C2" s="20" t="s">
        <v>15</v>
      </c>
      <c r="D2" s="21">
        <v>2.1800000000000002</v>
      </c>
      <c r="E2" s="22">
        <v>64.349999999999994</v>
      </c>
      <c r="F2" s="20"/>
      <c r="G2" s="13">
        <f>E23+E25+E28+E29+E30+E31+E32+E33+E34+E35+E36+E37+E38+E39+E40+E41+E44+E47+E48+E49+E55+E56+E72</f>
        <v>9011.619999999999</v>
      </c>
      <c r="H2" s="89">
        <f>E5+E6</f>
        <v>888.81</v>
      </c>
      <c r="I2" s="66">
        <f>E14</f>
        <v>152.15</v>
      </c>
      <c r="J2" s="16">
        <f>E83+E86+E100+E103</f>
        <v>2713.6800000000003</v>
      </c>
    </row>
    <row r="3" spans="1:10">
      <c r="A3" s="20" t="s">
        <v>366</v>
      </c>
      <c r="B3" s="23" t="s">
        <v>152</v>
      </c>
      <c r="C3" s="20" t="s">
        <v>15</v>
      </c>
      <c r="D3" s="21">
        <v>0.27</v>
      </c>
      <c r="E3" s="22">
        <v>6.94</v>
      </c>
      <c r="F3" s="20"/>
      <c r="J3" s="18"/>
    </row>
    <row r="4" spans="1:10">
      <c r="A4" s="20" t="s">
        <v>389</v>
      </c>
      <c r="B4" s="23" t="s">
        <v>152</v>
      </c>
      <c r="C4" s="20" t="s">
        <v>15</v>
      </c>
      <c r="D4" s="21">
        <v>0.97</v>
      </c>
      <c r="E4" s="22">
        <v>27.88</v>
      </c>
      <c r="F4" s="20"/>
      <c r="G4" s="305" t="s">
        <v>263</v>
      </c>
      <c r="H4" s="306"/>
      <c r="I4" s="306"/>
      <c r="J4" s="306"/>
    </row>
    <row r="5" spans="1:10">
      <c r="A5" s="80" t="s">
        <v>18</v>
      </c>
      <c r="B5" s="80" t="s">
        <v>152</v>
      </c>
      <c r="C5" s="80" t="s">
        <v>15</v>
      </c>
      <c r="D5" s="82">
        <v>16.850000000000001</v>
      </c>
      <c r="E5" s="83">
        <v>469.1</v>
      </c>
      <c r="F5" s="20" t="s">
        <v>310</v>
      </c>
    </row>
    <row r="6" spans="1:10">
      <c r="A6" s="80" t="s">
        <v>377</v>
      </c>
      <c r="B6" s="81" t="s">
        <v>152</v>
      </c>
      <c r="C6" s="80" t="s">
        <v>15</v>
      </c>
      <c r="D6" s="82">
        <v>12.8</v>
      </c>
      <c r="E6" s="83">
        <v>419.71</v>
      </c>
      <c r="F6" s="20" t="s">
        <v>310</v>
      </c>
    </row>
    <row r="7" spans="1:10">
      <c r="A7" s="20" t="s">
        <v>397</v>
      </c>
      <c r="B7" s="23" t="s">
        <v>152</v>
      </c>
      <c r="C7" s="20" t="s">
        <v>15</v>
      </c>
      <c r="D7" s="21">
        <v>1.73</v>
      </c>
      <c r="E7" s="22">
        <v>53.74</v>
      </c>
    </row>
    <row r="8" spans="1:10">
      <c r="A8" s="19" t="s">
        <v>7</v>
      </c>
      <c r="D8" s="26">
        <f>SUM(D2:D7)</f>
        <v>34.800000000000004</v>
      </c>
      <c r="E8" s="25">
        <f>SUM(E2:E7)</f>
        <v>1041.72</v>
      </c>
    </row>
    <row r="9" spans="1:10">
      <c r="A9" s="19"/>
      <c r="D9" s="24"/>
      <c r="E9" s="25"/>
    </row>
    <row r="10" spans="1:10">
      <c r="A10" s="20" t="s">
        <v>390</v>
      </c>
      <c r="B10" s="23" t="s">
        <v>217</v>
      </c>
      <c r="C10" s="20" t="s">
        <v>218</v>
      </c>
      <c r="D10" s="55">
        <v>0.87</v>
      </c>
      <c r="E10" s="22">
        <v>23.4</v>
      </c>
    </row>
    <row r="11" spans="1:10">
      <c r="A11" s="19" t="s">
        <v>7</v>
      </c>
      <c r="B11" s="19"/>
      <c r="D11" s="24">
        <v>0.87</v>
      </c>
      <c r="E11" s="25">
        <v>23.4</v>
      </c>
    </row>
    <row r="12" spans="1:10">
      <c r="A12" s="19"/>
      <c r="D12" s="26"/>
      <c r="E12" s="25"/>
    </row>
    <row r="13" spans="1:10">
      <c r="A13" s="20" t="s">
        <v>384</v>
      </c>
      <c r="B13" s="23" t="s">
        <v>154</v>
      </c>
      <c r="C13" s="20" t="s">
        <v>23</v>
      </c>
      <c r="D13" s="21">
        <v>0.63</v>
      </c>
      <c r="E13" s="22">
        <v>21.93</v>
      </c>
    </row>
    <row r="14" spans="1:10">
      <c r="A14" s="47" t="s">
        <v>398</v>
      </c>
      <c r="B14" s="48" t="s">
        <v>154</v>
      </c>
      <c r="C14" s="47" t="s">
        <v>23</v>
      </c>
      <c r="D14" s="49">
        <v>5.97</v>
      </c>
      <c r="E14" s="50">
        <v>152.15</v>
      </c>
      <c r="F14" s="20" t="s">
        <v>310</v>
      </c>
    </row>
    <row r="15" spans="1:10">
      <c r="A15" s="19" t="s">
        <v>7</v>
      </c>
      <c r="D15" s="26">
        <f>SUM(D13:D14)</f>
        <v>6.6</v>
      </c>
      <c r="E15" s="25">
        <f>SUM(E13:E14)</f>
        <v>174.08</v>
      </c>
    </row>
    <row r="16" spans="1:10">
      <c r="A16" s="19"/>
      <c r="D16" s="26"/>
      <c r="E16" s="25"/>
    </row>
    <row r="17" spans="1:6">
      <c r="A17" s="20" t="s">
        <v>195</v>
      </c>
      <c r="B17" s="23" t="s">
        <v>155</v>
      </c>
      <c r="C17" s="20" t="s">
        <v>196</v>
      </c>
      <c r="D17" s="21">
        <v>0.35</v>
      </c>
      <c r="E17" s="22">
        <v>10.82</v>
      </c>
    </row>
    <row r="18" spans="1:6">
      <c r="A18" s="19" t="s">
        <v>7</v>
      </c>
      <c r="B18" s="23"/>
      <c r="D18" s="26">
        <v>0.35</v>
      </c>
      <c r="E18" s="25">
        <v>10.82</v>
      </c>
    </row>
    <row r="19" spans="1:6">
      <c r="A19" s="19"/>
      <c r="B19" s="23"/>
      <c r="D19" s="26"/>
      <c r="E19" s="25"/>
    </row>
    <row r="20" spans="1:6">
      <c r="A20" s="20" t="s">
        <v>399</v>
      </c>
      <c r="B20" s="23" t="s">
        <v>198</v>
      </c>
      <c r="C20" s="20" t="s">
        <v>264</v>
      </c>
      <c r="D20" s="21">
        <v>0.92</v>
      </c>
      <c r="E20" s="22">
        <v>22.69</v>
      </c>
    </row>
    <row r="21" spans="1:6">
      <c r="A21" s="19" t="s">
        <v>7</v>
      </c>
      <c r="D21" s="26">
        <v>0.92</v>
      </c>
      <c r="E21" s="25">
        <v>22.69</v>
      </c>
    </row>
    <row r="22" spans="1:6">
      <c r="A22" s="19"/>
      <c r="D22" s="26"/>
      <c r="E22" s="25"/>
    </row>
    <row r="23" spans="1:6">
      <c r="A23" s="27" t="s">
        <v>335</v>
      </c>
      <c r="B23" s="28" t="s">
        <v>156</v>
      </c>
      <c r="C23" s="27" t="s">
        <v>91</v>
      </c>
      <c r="D23" s="29">
        <v>8.1300000000000008</v>
      </c>
      <c r="E23" s="30">
        <v>244</v>
      </c>
      <c r="F23" s="20" t="s">
        <v>310</v>
      </c>
    </row>
    <row r="24" spans="1:6">
      <c r="A24" s="20" t="s">
        <v>92</v>
      </c>
      <c r="B24" s="23" t="s">
        <v>156</v>
      </c>
      <c r="C24" s="20" t="s">
        <v>91</v>
      </c>
      <c r="D24" s="21">
        <v>1.02</v>
      </c>
      <c r="E24" s="22">
        <v>27.98</v>
      </c>
    </row>
    <row r="25" spans="1:6">
      <c r="A25" s="27" t="s">
        <v>400</v>
      </c>
      <c r="B25" s="28" t="s">
        <v>156</v>
      </c>
      <c r="C25" s="27" t="s">
        <v>91</v>
      </c>
      <c r="D25" s="29">
        <v>7.8</v>
      </c>
      <c r="E25" s="30">
        <v>198.9</v>
      </c>
      <c r="F25" s="20" t="s">
        <v>310</v>
      </c>
    </row>
    <row r="26" spans="1:6">
      <c r="A26" s="19" t="s">
        <v>7</v>
      </c>
      <c r="D26" s="26">
        <f>SUM(D23:D25)</f>
        <v>16.95</v>
      </c>
      <c r="E26" s="25">
        <f>SUM(E23:E25)</f>
        <v>470.88</v>
      </c>
    </row>
    <row r="27" spans="1:6">
      <c r="D27" s="21"/>
      <c r="E27" s="22"/>
    </row>
    <row r="28" spans="1:6">
      <c r="A28" s="27" t="s">
        <v>405</v>
      </c>
      <c r="B28" s="28" t="s">
        <v>157</v>
      </c>
      <c r="C28" s="27" t="s">
        <v>66</v>
      </c>
      <c r="D28" s="29">
        <v>6.95</v>
      </c>
      <c r="E28" s="30">
        <v>140.74</v>
      </c>
      <c r="F28" s="20" t="s">
        <v>310</v>
      </c>
    </row>
    <row r="29" spans="1:6">
      <c r="A29" s="27" t="s">
        <v>391</v>
      </c>
      <c r="B29" s="28" t="s">
        <v>157</v>
      </c>
      <c r="C29" s="27" t="s">
        <v>66</v>
      </c>
      <c r="D29" s="29">
        <v>18.7</v>
      </c>
      <c r="E29" s="30">
        <v>377.55</v>
      </c>
      <c r="F29" s="20" t="s">
        <v>310</v>
      </c>
    </row>
    <row r="30" spans="1:6">
      <c r="A30" s="27" t="s">
        <v>228</v>
      </c>
      <c r="B30" s="28" t="s">
        <v>157</v>
      </c>
      <c r="C30" s="27" t="s">
        <v>66</v>
      </c>
      <c r="D30" s="29">
        <v>28.87</v>
      </c>
      <c r="E30" s="30">
        <v>612.29999999999995</v>
      </c>
      <c r="F30" s="20" t="s">
        <v>310</v>
      </c>
    </row>
    <row r="31" spans="1:6">
      <c r="A31" s="27" t="s">
        <v>75</v>
      </c>
      <c r="B31" s="28" t="s">
        <v>157</v>
      </c>
      <c r="C31" s="27" t="s">
        <v>66</v>
      </c>
      <c r="D31" s="29">
        <v>20.93</v>
      </c>
      <c r="E31" s="30">
        <v>427.34</v>
      </c>
      <c r="F31" s="20" t="s">
        <v>310</v>
      </c>
    </row>
    <row r="32" spans="1:6">
      <c r="A32" s="27" t="s">
        <v>237</v>
      </c>
      <c r="B32" s="28" t="s">
        <v>157</v>
      </c>
      <c r="C32" s="27" t="s">
        <v>66</v>
      </c>
      <c r="D32" s="29">
        <v>5.0199999999999996</v>
      </c>
      <c r="E32" s="30">
        <v>120.4</v>
      </c>
      <c r="F32" s="20" t="s">
        <v>310</v>
      </c>
    </row>
    <row r="33" spans="1:6">
      <c r="A33" s="27" t="s">
        <v>292</v>
      </c>
      <c r="B33" s="28" t="s">
        <v>157</v>
      </c>
      <c r="C33" s="27" t="s">
        <v>66</v>
      </c>
      <c r="D33" s="91">
        <v>16.899999999999999</v>
      </c>
      <c r="E33" s="30">
        <v>405.6</v>
      </c>
      <c r="F33" s="20" t="s">
        <v>310</v>
      </c>
    </row>
    <row r="34" spans="1:6">
      <c r="A34" s="27" t="s">
        <v>406</v>
      </c>
      <c r="B34" s="28" t="s">
        <v>157</v>
      </c>
      <c r="C34" s="27" t="s">
        <v>66</v>
      </c>
      <c r="D34" s="91">
        <v>6.98</v>
      </c>
      <c r="E34" s="30">
        <v>141.41</v>
      </c>
      <c r="F34" s="20" t="s">
        <v>310</v>
      </c>
    </row>
    <row r="35" spans="1:6">
      <c r="A35" s="27" t="s">
        <v>85</v>
      </c>
      <c r="B35" s="28" t="s">
        <v>157</v>
      </c>
      <c r="C35" s="27" t="s">
        <v>66</v>
      </c>
      <c r="D35" s="27">
        <v>14.62</v>
      </c>
      <c r="E35" s="30">
        <v>361.76</v>
      </c>
      <c r="F35" s="20" t="s">
        <v>310</v>
      </c>
    </row>
    <row r="36" spans="1:6">
      <c r="A36" s="27" t="s">
        <v>159</v>
      </c>
      <c r="B36" s="28" t="s">
        <v>157</v>
      </c>
      <c r="C36" s="27" t="s">
        <v>66</v>
      </c>
      <c r="D36" s="91">
        <v>32.950000000000003</v>
      </c>
      <c r="E36" s="30">
        <v>779.08</v>
      </c>
      <c r="F36" s="20" t="s">
        <v>310</v>
      </c>
    </row>
    <row r="37" spans="1:6">
      <c r="A37" s="27" t="s">
        <v>407</v>
      </c>
      <c r="B37" s="28" t="s">
        <v>157</v>
      </c>
      <c r="C37" s="27" t="s">
        <v>66</v>
      </c>
      <c r="D37" s="91">
        <v>9</v>
      </c>
      <c r="E37" s="30">
        <v>189</v>
      </c>
      <c r="F37" s="20" t="s">
        <v>310</v>
      </c>
    </row>
    <row r="38" spans="1:6">
      <c r="A38" s="27" t="s">
        <v>328</v>
      </c>
      <c r="B38" s="28" t="s">
        <v>157</v>
      </c>
      <c r="C38" s="27" t="s">
        <v>66</v>
      </c>
      <c r="D38" s="91">
        <v>35.369999999999997</v>
      </c>
      <c r="E38" s="30">
        <v>848.25</v>
      </c>
      <c r="F38" s="20" t="s">
        <v>310</v>
      </c>
    </row>
    <row r="39" spans="1:6">
      <c r="A39" s="27" t="s">
        <v>270</v>
      </c>
      <c r="B39" s="28" t="s">
        <v>157</v>
      </c>
      <c r="C39" s="27" t="s">
        <v>66</v>
      </c>
      <c r="D39" s="91">
        <v>54.98</v>
      </c>
      <c r="E39" s="30">
        <v>1530.28</v>
      </c>
      <c r="F39" s="20" t="s">
        <v>310</v>
      </c>
    </row>
    <row r="40" spans="1:6">
      <c r="A40" s="27" t="s">
        <v>79</v>
      </c>
      <c r="B40" s="28" t="s">
        <v>157</v>
      </c>
      <c r="C40" s="27" t="s">
        <v>66</v>
      </c>
      <c r="D40" s="27">
        <f>3.93+2.82</f>
        <v>6.75</v>
      </c>
      <c r="E40" s="30">
        <f>94.4+66.54</f>
        <v>160.94</v>
      </c>
      <c r="F40" s="20" t="s">
        <v>310</v>
      </c>
    </row>
    <row r="41" spans="1:6">
      <c r="A41" s="27" t="s">
        <v>375</v>
      </c>
      <c r="B41" s="28" t="s">
        <v>157</v>
      </c>
      <c r="C41" s="27" t="s">
        <v>66</v>
      </c>
      <c r="D41" s="27">
        <v>22.97</v>
      </c>
      <c r="E41" s="30">
        <v>463.22</v>
      </c>
      <c r="F41" s="20" t="s">
        <v>310</v>
      </c>
    </row>
    <row r="42" spans="1:6">
      <c r="A42" s="19" t="s">
        <v>7</v>
      </c>
      <c r="D42" s="26">
        <f>SUM(D28:D41)</f>
        <v>280.99</v>
      </c>
      <c r="E42" s="25">
        <f>SUM(E28:E41)</f>
        <v>6557.869999999999</v>
      </c>
    </row>
    <row r="43" spans="1:6">
      <c r="A43" s="19"/>
      <c r="D43" s="26"/>
      <c r="E43" s="25"/>
    </row>
    <row r="44" spans="1:6">
      <c r="A44" s="27" t="s">
        <v>163</v>
      </c>
      <c r="B44" s="28" t="s">
        <v>162</v>
      </c>
      <c r="C44" s="27" t="s">
        <v>51</v>
      </c>
      <c r="D44" s="29">
        <v>20.13</v>
      </c>
      <c r="E44" s="30">
        <v>558.54999999999995</v>
      </c>
      <c r="F44" s="20" t="s">
        <v>310</v>
      </c>
    </row>
    <row r="45" spans="1:6">
      <c r="A45" s="19" t="s">
        <v>7</v>
      </c>
      <c r="B45" s="23"/>
      <c r="D45" s="26">
        <v>20.13</v>
      </c>
      <c r="E45" s="25">
        <v>558.54999999999995</v>
      </c>
    </row>
    <row r="46" spans="1:6">
      <c r="A46" s="19"/>
      <c r="D46" s="26"/>
      <c r="E46" s="25"/>
    </row>
    <row r="47" spans="1:6">
      <c r="A47" s="27" t="s">
        <v>203</v>
      </c>
      <c r="B47" s="28" t="s">
        <v>164</v>
      </c>
      <c r="C47" s="27" t="s">
        <v>60</v>
      </c>
      <c r="D47" s="29">
        <v>4.88</v>
      </c>
      <c r="E47" s="30">
        <v>101.05</v>
      </c>
      <c r="F47" s="20" t="s">
        <v>310</v>
      </c>
    </row>
    <row r="48" spans="1:6">
      <c r="A48" s="27" t="s">
        <v>64</v>
      </c>
      <c r="B48" s="28" t="s">
        <v>164</v>
      </c>
      <c r="C48" s="27" t="s">
        <v>60</v>
      </c>
      <c r="D48" s="29">
        <v>7.2</v>
      </c>
      <c r="E48" s="30">
        <v>151.19999999999999</v>
      </c>
      <c r="F48" s="20" t="s">
        <v>310</v>
      </c>
    </row>
    <row r="49" spans="1:6">
      <c r="A49" s="27" t="s">
        <v>339</v>
      </c>
      <c r="B49" s="28" t="s">
        <v>164</v>
      </c>
      <c r="C49" s="27" t="s">
        <v>60</v>
      </c>
      <c r="D49" s="29">
        <v>23.98</v>
      </c>
      <c r="E49" s="30">
        <v>575.6</v>
      </c>
      <c r="F49" s="20" t="s">
        <v>310</v>
      </c>
    </row>
    <row r="50" spans="1:6">
      <c r="A50" s="19" t="s">
        <v>7</v>
      </c>
      <c r="D50" s="26">
        <f>SUM(D47:D49)</f>
        <v>36.06</v>
      </c>
      <c r="E50" s="25">
        <f>SUM(E47:E49)</f>
        <v>827.85</v>
      </c>
    </row>
    <row r="51" spans="1:6">
      <c r="A51" s="19"/>
      <c r="D51" s="26"/>
      <c r="E51" s="25"/>
    </row>
    <row r="52" spans="1:6">
      <c r="A52" s="20" t="s">
        <v>372</v>
      </c>
      <c r="B52" s="23" t="s">
        <v>165</v>
      </c>
      <c r="C52" s="20" t="s">
        <v>45</v>
      </c>
      <c r="D52" s="21">
        <v>3.35</v>
      </c>
      <c r="E52" s="22">
        <v>75.38</v>
      </c>
    </row>
    <row r="53" spans="1:6">
      <c r="A53" s="19" t="s">
        <v>7</v>
      </c>
      <c r="D53" s="26">
        <v>3.35</v>
      </c>
      <c r="E53" s="25">
        <v>75.38</v>
      </c>
    </row>
    <row r="54" spans="1:6">
      <c r="A54" s="19"/>
      <c r="D54" s="26"/>
      <c r="E54" s="25"/>
    </row>
    <row r="55" spans="1:6">
      <c r="A55" s="27" t="s">
        <v>166</v>
      </c>
      <c r="B55" s="28" t="s">
        <v>167</v>
      </c>
      <c r="C55" s="27" t="s">
        <v>54</v>
      </c>
      <c r="D55" s="29">
        <v>11.37</v>
      </c>
      <c r="E55" s="30">
        <v>271.20999999999998</v>
      </c>
      <c r="F55" s="20" t="s">
        <v>310</v>
      </c>
    </row>
    <row r="56" spans="1:6">
      <c r="A56" s="27" t="s">
        <v>345</v>
      </c>
      <c r="B56" s="28" t="s">
        <v>167</v>
      </c>
      <c r="C56" s="27" t="s">
        <v>54</v>
      </c>
      <c r="D56" s="29">
        <v>4.8499999999999996</v>
      </c>
      <c r="E56" s="30">
        <v>112.49</v>
      </c>
      <c r="F56" s="20" t="s">
        <v>310</v>
      </c>
    </row>
    <row r="57" spans="1:6">
      <c r="A57" s="20" t="s">
        <v>393</v>
      </c>
      <c r="B57" s="23" t="s">
        <v>167</v>
      </c>
      <c r="C57" s="20" t="s">
        <v>54</v>
      </c>
      <c r="D57" s="21">
        <v>2.08</v>
      </c>
      <c r="E57" s="22">
        <v>43.75</v>
      </c>
    </row>
    <row r="58" spans="1:6">
      <c r="A58" s="19" t="s">
        <v>7</v>
      </c>
      <c r="B58" s="23"/>
      <c r="D58" s="26">
        <f>SUM(D55:D57)</f>
        <v>18.299999999999997</v>
      </c>
      <c r="E58" s="25">
        <f>SUM(E55:E57)</f>
        <v>427.45</v>
      </c>
    </row>
    <row r="59" spans="1:6">
      <c r="A59" s="19"/>
      <c r="B59" s="23"/>
      <c r="D59" s="26"/>
      <c r="E59" s="25"/>
    </row>
    <row r="60" spans="1:6">
      <c r="A60" s="20" t="s">
        <v>312</v>
      </c>
      <c r="B60" s="23" t="s">
        <v>171</v>
      </c>
      <c r="C60" s="20" t="s">
        <v>25</v>
      </c>
      <c r="D60" s="21">
        <v>0.15</v>
      </c>
      <c r="E60" s="22">
        <v>3.94</v>
      </c>
    </row>
    <row r="61" spans="1:6">
      <c r="A61" s="20" t="s">
        <v>286</v>
      </c>
      <c r="B61" s="20" t="s">
        <v>171</v>
      </c>
      <c r="C61" s="20" t="s">
        <v>25</v>
      </c>
      <c r="D61" s="21">
        <v>0.78</v>
      </c>
      <c r="E61" s="22">
        <v>21.44</v>
      </c>
    </row>
    <row r="62" spans="1:6">
      <c r="A62" s="95" t="s">
        <v>368</v>
      </c>
      <c r="B62" s="96" t="s">
        <v>171</v>
      </c>
      <c r="C62" s="95" t="s">
        <v>25</v>
      </c>
      <c r="D62" s="97">
        <v>8.33</v>
      </c>
      <c r="E62" s="98">
        <v>243.75</v>
      </c>
      <c r="F62" s="20" t="s">
        <v>310</v>
      </c>
    </row>
    <row r="63" spans="1:6">
      <c r="A63" s="19" t="s">
        <v>7</v>
      </c>
      <c r="D63" s="26">
        <f>SUM(D60:D62)</f>
        <v>9.26</v>
      </c>
      <c r="E63" s="25">
        <f>SUM(E60:E62)</f>
        <v>269.13</v>
      </c>
    </row>
    <row r="64" spans="1:6">
      <c r="A64" s="19"/>
      <c r="D64" s="26"/>
      <c r="E64" s="25"/>
    </row>
    <row r="65" spans="1:6">
      <c r="A65" s="20" t="s">
        <v>394</v>
      </c>
      <c r="B65" s="23" t="s">
        <v>172</v>
      </c>
      <c r="C65" s="20" t="s">
        <v>348</v>
      </c>
      <c r="D65" s="21">
        <v>0.33</v>
      </c>
      <c r="E65" s="22">
        <v>11.66</v>
      </c>
    </row>
    <row r="66" spans="1:6">
      <c r="A66" s="19" t="s">
        <v>7</v>
      </c>
      <c r="D66" s="26">
        <v>0.33</v>
      </c>
      <c r="E66" s="25">
        <v>11.66</v>
      </c>
    </row>
    <row r="67" spans="1:6">
      <c r="D67" s="21"/>
      <c r="E67" s="22"/>
    </row>
    <row r="68" spans="1:6">
      <c r="A68" s="20" t="s">
        <v>307</v>
      </c>
      <c r="B68" s="20">
        <v>100035</v>
      </c>
      <c r="C68" s="20" t="s">
        <v>332</v>
      </c>
      <c r="D68" s="21">
        <v>0.23</v>
      </c>
      <c r="E68" s="22">
        <v>8.77</v>
      </c>
    </row>
    <row r="69" spans="1:6">
      <c r="A69" s="20" t="s">
        <v>331</v>
      </c>
      <c r="B69" s="20">
        <v>100035</v>
      </c>
      <c r="C69" s="20" t="s">
        <v>332</v>
      </c>
      <c r="D69" s="21">
        <v>0.32</v>
      </c>
      <c r="E69" s="22">
        <v>9.69</v>
      </c>
    </row>
    <row r="70" spans="1:6">
      <c r="A70" s="19" t="s">
        <v>7</v>
      </c>
      <c r="D70" s="26">
        <f>SUM(D68:D69)</f>
        <v>0.55000000000000004</v>
      </c>
      <c r="E70" s="25">
        <f>SUM(E68:E69)</f>
        <v>18.46</v>
      </c>
    </row>
    <row r="71" spans="1:6">
      <c r="A71" s="19"/>
      <c r="D71" s="21"/>
      <c r="E71" s="22"/>
    </row>
    <row r="72" spans="1:6">
      <c r="A72" s="27" t="s">
        <v>37</v>
      </c>
      <c r="B72" s="27">
        <v>100051</v>
      </c>
      <c r="C72" s="27" t="s">
        <v>34</v>
      </c>
      <c r="D72" s="29">
        <v>10.5</v>
      </c>
      <c r="E72" s="30">
        <v>240.75</v>
      </c>
      <c r="F72" s="20" t="s">
        <v>310</v>
      </c>
    </row>
    <row r="73" spans="1:6">
      <c r="A73" s="20" t="s">
        <v>213</v>
      </c>
      <c r="B73" s="20">
        <v>100051</v>
      </c>
      <c r="C73" s="20" t="s">
        <v>34</v>
      </c>
      <c r="D73" s="21">
        <v>1</v>
      </c>
      <c r="E73" s="22">
        <v>20.18</v>
      </c>
    </row>
    <row r="74" spans="1:6">
      <c r="A74" s="20" t="s">
        <v>341</v>
      </c>
      <c r="B74" s="20">
        <v>100051</v>
      </c>
      <c r="C74" s="20" t="s">
        <v>34</v>
      </c>
      <c r="D74" s="21">
        <v>0.78</v>
      </c>
      <c r="E74" s="22">
        <v>15.73</v>
      </c>
    </row>
    <row r="75" spans="1:6">
      <c r="A75" s="19" t="s">
        <v>7</v>
      </c>
      <c r="D75" s="26">
        <f>SUM(D72:D74)</f>
        <v>12.28</v>
      </c>
      <c r="E75" s="25">
        <f>SUM(E72:E74)</f>
        <v>276.66000000000003</v>
      </c>
    </row>
    <row r="76" spans="1:6">
      <c r="A76" s="19"/>
      <c r="D76" s="26"/>
      <c r="E76" s="25"/>
    </row>
    <row r="77" spans="1:6">
      <c r="A77" s="20" t="s">
        <v>369</v>
      </c>
      <c r="B77" s="20">
        <v>450044</v>
      </c>
      <c r="C77" s="20" t="s">
        <v>134</v>
      </c>
      <c r="D77" s="21">
        <v>1.5</v>
      </c>
      <c r="E77" s="22">
        <v>32.51</v>
      </c>
    </row>
    <row r="78" spans="1:6">
      <c r="A78" s="19" t="s">
        <v>7</v>
      </c>
      <c r="D78" s="26">
        <v>1.5</v>
      </c>
      <c r="E78" s="25">
        <v>32.51</v>
      </c>
    </row>
    <row r="79" spans="1:6">
      <c r="A79" s="19"/>
      <c r="D79" s="26"/>
      <c r="E79" s="25"/>
    </row>
    <row r="80" spans="1:6">
      <c r="A80" s="20" t="s">
        <v>346</v>
      </c>
      <c r="B80" s="23">
        <v>450046</v>
      </c>
      <c r="C80" s="20" t="s">
        <v>128</v>
      </c>
      <c r="D80" s="21">
        <v>1.08</v>
      </c>
      <c r="E80" s="22">
        <v>32.5</v>
      </c>
    </row>
    <row r="81" spans="1:6">
      <c r="A81" s="19" t="s">
        <v>7</v>
      </c>
      <c r="D81" s="26">
        <v>1.08</v>
      </c>
      <c r="E81" s="25">
        <v>32.5</v>
      </c>
    </row>
    <row r="82" spans="1:6">
      <c r="A82" s="19"/>
      <c r="D82" s="26"/>
      <c r="E82" s="25"/>
    </row>
    <row r="83" spans="1:6">
      <c r="A83" s="32" t="s">
        <v>282</v>
      </c>
      <c r="B83" s="32">
        <v>450048</v>
      </c>
      <c r="C83" s="32" t="s">
        <v>388</v>
      </c>
      <c r="D83" s="33">
        <v>7.23</v>
      </c>
      <c r="E83" s="34">
        <v>180.33</v>
      </c>
      <c r="F83" s="31" t="s">
        <v>408</v>
      </c>
    </row>
    <row r="84" spans="1:6">
      <c r="A84" s="19" t="s">
        <v>7</v>
      </c>
      <c r="D84" s="26">
        <v>7.23</v>
      </c>
      <c r="E84" s="25">
        <v>180.33</v>
      </c>
    </row>
    <row r="85" spans="1:6">
      <c r="A85" s="19"/>
      <c r="D85" s="26"/>
      <c r="E85" s="25"/>
    </row>
    <row r="86" spans="1:6">
      <c r="A86" s="32" t="s">
        <v>119</v>
      </c>
      <c r="B86" s="32">
        <v>450051</v>
      </c>
      <c r="C86" s="32" t="s">
        <v>279</v>
      </c>
      <c r="D86" s="33">
        <v>5.0199999999999996</v>
      </c>
      <c r="E86" s="34">
        <v>87.67</v>
      </c>
      <c r="F86" s="31" t="s">
        <v>408</v>
      </c>
    </row>
    <row r="87" spans="1:6">
      <c r="A87" s="20" t="s">
        <v>111</v>
      </c>
      <c r="B87" s="20">
        <v>450051</v>
      </c>
      <c r="C87" s="20" t="s">
        <v>279</v>
      </c>
      <c r="D87" s="21">
        <v>1.98</v>
      </c>
      <c r="E87" s="22">
        <v>30.58</v>
      </c>
    </row>
    <row r="88" spans="1:6">
      <c r="A88" s="20" t="s">
        <v>409</v>
      </c>
      <c r="B88" s="20">
        <v>450051</v>
      </c>
      <c r="C88" s="20" t="s">
        <v>279</v>
      </c>
      <c r="D88" s="21">
        <v>1.75</v>
      </c>
      <c r="E88" s="22">
        <v>28.88</v>
      </c>
    </row>
    <row r="89" spans="1:6">
      <c r="A89" s="20" t="s">
        <v>106</v>
      </c>
      <c r="B89" s="20">
        <v>450051</v>
      </c>
      <c r="C89" s="20" t="s">
        <v>279</v>
      </c>
      <c r="D89" s="21">
        <v>2.12</v>
      </c>
      <c r="E89" s="22">
        <v>35.97</v>
      </c>
    </row>
    <row r="90" spans="1:6">
      <c r="A90" s="20" t="s">
        <v>404</v>
      </c>
      <c r="B90" s="20">
        <v>450051</v>
      </c>
      <c r="C90" s="20" t="s">
        <v>279</v>
      </c>
      <c r="D90" s="21">
        <v>2.0299999999999998</v>
      </c>
      <c r="E90" s="22">
        <v>30.5</v>
      </c>
    </row>
    <row r="91" spans="1:6">
      <c r="A91" s="20" t="s">
        <v>116</v>
      </c>
      <c r="B91" s="20">
        <v>450051</v>
      </c>
      <c r="C91" s="20" t="s">
        <v>279</v>
      </c>
      <c r="D91" s="21">
        <v>2.02</v>
      </c>
      <c r="E91" s="22">
        <v>34.97</v>
      </c>
    </row>
    <row r="92" spans="1:6">
      <c r="A92" s="19" t="s">
        <v>7</v>
      </c>
      <c r="D92" s="26">
        <f>SUM(D86:D91)</f>
        <v>14.92</v>
      </c>
      <c r="E92" s="25">
        <f>SUM(E86:E91)</f>
        <v>248.57</v>
      </c>
    </row>
    <row r="93" spans="1:6">
      <c r="D93" s="21"/>
      <c r="E93" s="22"/>
    </row>
    <row r="94" spans="1:6">
      <c r="A94" s="20" t="s">
        <v>124</v>
      </c>
      <c r="B94" s="20">
        <v>450052</v>
      </c>
      <c r="C94" s="20" t="s">
        <v>281</v>
      </c>
      <c r="D94" s="21">
        <v>2.08</v>
      </c>
      <c r="E94" s="22">
        <v>50</v>
      </c>
    </row>
    <row r="95" spans="1:6">
      <c r="A95" s="19" t="s">
        <v>7</v>
      </c>
      <c r="B95" s="19"/>
      <c r="C95" s="19"/>
      <c r="D95" s="26">
        <v>2.08</v>
      </c>
      <c r="E95" s="25">
        <v>50</v>
      </c>
    </row>
    <row r="96" spans="1:6">
      <c r="D96" s="21"/>
      <c r="E96" s="22"/>
    </row>
    <row r="97" spans="1:6">
      <c r="A97" s="20" t="s">
        <v>97</v>
      </c>
      <c r="B97" s="20" t="s">
        <v>181</v>
      </c>
      <c r="C97" s="20" t="s">
        <v>98</v>
      </c>
      <c r="D97" s="21">
        <v>0.3</v>
      </c>
      <c r="E97" s="22">
        <v>9.36</v>
      </c>
    </row>
    <row r="98" spans="1:6">
      <c r="A98" s="19" t="s">
        <v>7</v>
      </c>
      <c r="D98" s="26">
        <f>SUM(D97:D97)</f>
        <v>0.3</v>
      </c>
      <c r="E98" s="25">
        <f>SUM(E97:E97)</f>
        <v>9.36</v>
      </c>
    </row>
    <row r="99" spans="1:6">
      <c r="A99" s="19"/>
      <c r="D99" s="26"/>
      <c r="E99" s="25"/>
    </row>
    <row r="100" spans="1:6">
      <c r="A100" s="32" t="s">
        <v>39</v>
      </c>
      <c r="B100" s="32">
        <v>550051</v>
      </c>
      <c r="C100" s="32" t="s">
        <v>104</v>
      </c>
      <c r="D100" s="33">
        <v>51.83</v>
      </c>
      <c r="E100" s="34">
        <v>1183.54</v>
      </c>
      <c r="F100" s="31" t="s">
        <v>408</v>
      </c>
    </row>
    <row r="101" spans="1:6">
      <c r="A101" s="19" t="s">
        <v>7</v>
      </c>
      <c r="D101" s="26">
        <v>51.83</v>
      </c>
      <c r="E101" s="25">
        <v>1183.54</v>
      </c>
    </row>
    <row r="102" spans="1:6">
      <c r="A102" s="19"/>
      <c r="D102" s="26"/>
      <c r="E102" s="25"/>
    </row>
    <row r="103" spans="1:6">
      <c r="A103" s="32" t="s">
        <v>41</v>
      </c>
      <c r="B103" s="32">
        <v>550052</v>
      </c>
      <c r="C103" s="32" t="s">
        <v>126</v>
      </c>
      <c r="D103" s="33">
        <v>51.87</v>
      </c>
      <c r="E103" s="34">
        <v>1262.1400000000001</v>
      </c>
      <c r="F103" s="31" t="s">
        <v>408</v>
      </c>
    </row>
    <row r="104" spans="1:6">
      <c r="A104" s="19" t="s">
        <v>7</v>
      </c>
      <c r="D104" s="26">
        <v>51.87</v>
      </c>
      <c r="E104" s="25">
        <v>1262.1400000000001</v>
      </c>
    </row>
    <row r="105" spans="1:6">
      <c r="A105" s="19"/>
      <c r="D105" s="26"/>
      <c r="E105" s="25"/>
    </row>
    <row r="106" spans="1:6">
      <c r="A106" s="19" t="s">
        <v>194</v>
      </c>
      <c r="D106" s="26">
        <f>D8+D11+D15+D18+D21+D26+D42+D45+D50+D53+D58+D63+D66+D70+D75+D78+D81+D84+D92+D95+D98+D101+D104</f>
        <v>572.55000000000007</v>
      </c>
      <c r="E106" s="26">
        <f>E8+E11+E15+E18+E21+E26+E42+E45+E50+E53+E58+E63+E66+E70+E75+E78+E81+E84+E92+E95+E98+E101+E104</f>
        <v>13765.549999999996</v>
      </c>
    </row>
    <row r="107" spans="1:6">
      <c r="D107" s="21"/>
      <c r="E107" s="22"/>
    </row>
    <row r="108" spans="1:6">
      <c r="A108" s="19"/>
      <c r="D108" s="26"/>
      <c r="E108" s="25"/>
    </row>
    <row r="109" spans="1:6">
      <c r="D109" s="21"/>
      <c r="E109" s="22"/>
    </row>
    <row r="110" spans="1:6">
      <c r="D110" s="21"/>
      <c r="E110" s="22"/>
    </row>
    <row r="111" spans="1:6">
      <c r="A111" s="19"/>
      <c r="D111" s="26"/>
      <c r="E111" s="25"/>
    </row>
    <row r="112" spans="1:6">
      <c r="A112" s="19"/>
      <c r="D112" s="26"/>
      <c r="E112" s="25"/>
    </row>
    <row r="113" spans="1:5">
      <c r="D113" s="21"/>
      <c r="E113" s="22"/>
    </row>
    <row r="114" spans="1:5">
      <c r="A114" s="19"/>
      <c r="D114" s="26"/>
      <c r="E114" s="25"/>
    </row>
    <row r="115" spans="1:5">
      <c r="A115" s="19"/>
      <c r="D115" s="26"/>
      <c r="E115" s="25"/>
    </row>
    <row r="116" spans="1:5">
      <c r="D116" s="21"/>
      <c r="E116" s="22"/>
    </row>
    <row r="117" spans="1:5">
      <c r="A117" s="19"/>
      <c r="D117" s="26"/>
      <c r="E117" s="25"/>
    </row>
    <row r="118" spans="1:5">
      <c r="A118" s="19"/>
      <c r="D118" s="26"/>
      <c r="E118" s="25"/>
    </row>
    <row r="119" spans="1:5">
      <c r="D119" s="21"/>
      <c r="E119" s="22"/>
    </row>
    <row r="120" spans="1:5">
      <c r="D120" s="21"/>
      <c r="E120" s="22"/>
    </row>
    <row r="121" spans="1:5">
      <c r="A121" s="19"/>
      <c r="D121" s="26"/>
      <c r="E121" s="25"/>
    </row>
    <row r="122" spans="1:5">
      <c r="A122" s="19"/>
      <c r="D122" s="21"/>
      <c r="E122" s="22"/>
    </row>
    <row r="123" spans="1:5">
      <c r="A123" s="19"/>
      <c r="D123" s="26"/>
      <c r="E123" s="26"/>
    </row>
    <row r="124" spans="1:5">
      <c r="D124" s="26"/>
      <c r="E124" s="25"/>
    </row>
  </sheetData>
  <mergeCells count="1">
    <mergeCell ref="G4:J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17"/>
  <sheetViews>
    <sheetView topLeftCell="A37" workbookViewId="0">
      <selection activeCell="F6" sqref="F6"/>
    </sheetView>
  </sheetViews>
  <sheetFormatPr defaultRowHeight="12.75"/>
  <cols>
    <col min="1" max="1" width="20.28515625" style="18" bestFit="1" customWidth="1"/>
    <col min="2" max="2" width="23.140625" style="18" bestFit="1" customWidth="1"/>
    <col min="3" max="3" width="28.7109375" style="18" bestFit="1" customWidth="1"/>
    <col min="4" max="4" width="20.42578125" style="18" bestFit="1" customWidth="1"/>
    <col min="5" max="5" width="23.28515625" style="18" bestFit="1" customWidth="1"/>
    <col min="6" max="6" width="13.85546875" style="18" bestFit="1" customWidth="1"/>
    <col min="7" max="7" width="16.7109375" style="18" customWidth="1"/>
    <col min="8" max="8" width="17.28515625" style="18" bestFit="1" customWidth="1"/>
    <col min="9" max="9" width="15.140625" style="18" customWidth="1"/>
    <col min="10" max="10" width="12.42578125" style="18" customWidth="1"/>
    <col min="11" max="16384" width="9.140625" style="18"/>
  </cols>
  <sheetData>
    <row r="1" spans="1:10">
      <c r="A1" s="19" t="s">
        <v>147</v>
      </c>
      <c r="B1" s="19" t="s">
        <v>148</v>
      </c>
      <c r="C1" s="19" t="s">
        <v>149</v>
      </c>
      <c r="D1" s="19" t="s">
        <v>150</v>
      </c>
      <c r="E1" s="19" t="s">
        <v>151</v>
      </c>
      <c r="F1" s="11" t="s">
        <v>258</v>
      </c>
      <c r="G1" s="38" t="s">
        <v>259</v>
      </c>
      <c r="H1" s="88" t="s">
        <v>334</v>
      </c>
      <c r="I1" s="40" t="s">
        <v>260</v>
      </c>
      <c r="J1" s="39" t="s">
        <v>261</v>
      </c>
    </row>
    <row r="2" spans="1:10">
      <c r="A2" s="20" t="s">
        <v>20</v>
      </c>
      <c r="B2" s="20" t="s">
        <v>152</v>
      </c>
      <c r="C2" s="20" t="s">
        <v>15</v>
      </c>
      <c r="D2" s="21">
        <v>1.72</v>
      </c>
      <c r="E2" s="22">
        <v>50.6</v>
      </c>
      <c r="F2" s="20"/>
      <c r="G2" s="13">
        <f>E25+E26+E27+E28+E29+E30+E31+E32+E33+E34+E35+E36+E38+E39+E40+E41+E42+E43+E46+E47+E50+E52+E53+E56+E59+E76+E77+E78+E79+E80+E82</f>
        <v>9867.0700000000033</v>
      </c>
      <c r="H2" s="89">
        <f>E5+E6</f>
        <v>599.92000000000007</v>
      </c>
      <c r="I2" s="66">
        <f>E73</f>
        <v>253.94</v>
      </c>
      <c r="J2" s="16">
        <f>E98+E101</f>
        <v>286.02</v>
      </c>
    </row>
    <row r="3" spans="1:10">
      <c r="A3" s="20" t="s">
        <v>366</v>
      </c>
      <c r="B3" s="23" t="s">
        <v>152</v>
      </c>
      <c r="C3" s="20" t="s">
        <v>15</v>
      </c>
      <c r="D3" s="21">
        <v>0.37</v>
      </c>
      <c r="E3" s="22">
        <v>9.5399999999999991</v>
      </c>
      <c r="F3" s="20"/>
      <c r="G3"/>
      <c r="H3"/>
      <c r="I3"/>
    </row>
    <row r="4" spans="1:10">
      <c r="A4" s="20" t="s">
        <v>389</v>
      </c>
      <c r="B4" s="23" t="s">
        <v>152</v>
      </c>
      <c r="C4" s="20" t="s">
        <v>15</v>
      </c>
      <c r="D4" s="21">
        <v>0.25</v>
      </c>
      <c r="E4" s="22">
        <v>7.21</v>
      </c>
      <c r="F4" s="20"/>
      <c r="G4" s="305" t="s">
        <v>263</v>
      </c>
      <c r="H4" s="306"/>
      <c r="I4" s="306"/>
      <c r="J4" s="306"/>
    </row>
    <row r="5" spans="1:10">
      <c r="A5" s="89" t="s">
        <v>18</v>
      </c>
      <c r="B5" s="89" t="s">
        <v>152</v>
      </c>
      <c r="C5" s="89" t="s">
        <v>15</v>
      </c>
      <c r="D5" s="89">
        <v>13.72</v>
      </c>
      <c r="E5" s="89">
        <v>381.87</v>
      </c>
      <c r="F5" s="20" t="s">
        <v>310</v>
      </c>
    </row>
    <row r="6" spans="1:10">
      <c r="A6" s="89" t="s">
        <v>377</v>
      </c>
      <c r="B6" s="89" t="s">
        <v>152</v>
      </c>
      <c r="C6" s="89" t="s">
        <v>15</v>
      </c>
      <c r="D6" s="89">
        <v>6.65</v>
      </c>
      <c r="E6" s="89">
        <v>218.05</v>
      </c>
      <c r="F6" s="20" t="s">
        <v>310</v>
      </c>
    </row>
    <row r="7" spans="1:10">
      <c r="A7" s="20" t="s">
        <v>397</v>
      </c>
      <c r="B7" s="23" t="s">
        <v>152</v>
      </c>
      <c r="C7" s="20" t="s">
        <v>15</v>
      </c>
      <c r="D7" s="21">
        <v>2.27</v>
      </c>
      <c r="E7" s="22">
        <v>70.28</v>
      </c>
    </row>
    <row r="8" spans="1:10">
      <c r="A8" s="19" t="s">
        <v>7</v>
      </c>
      <c r="B8" s="20"/>
      <c r="C8" s="20"/>
      <c r="D8" s="24">
        <f>SUM(D2:D7)</f>
        <v>24.98</v>
      </c>
      <c r="E8" s="25">
        <f>SUM(E2:E7)</f>
        <v>737.55</v>
      </c>
    </row>
    <row r="9" spans="1:10">
      <c r="A9" s="19"/>
      <c r="B9" s="20"/>
      <c r="C9" s="20"/>
      <c r="D9" s="24"/>
      <c r="E9" s="25"/>
    </row>
    <row r="10" spans="1:10">
      <c r="A10" s="20" t="s">
        <v>390</v>
      </c>
      <c r="B10" s="23" t="s">
        <v>217</v>
      </c>
      <c r="C10" s="20" t="s">
        <v>218</v>
      </c>
      <c r="D10" s="55">
        <v>0.25</v>
      </c>
      <c r="E10" s="22">
        <v>6.75</v>
      </c>
    </row>
    <row r="11" spans="1:10">
      <c r="A11" s="19" t="s">
        <v>7</v>
      </c>
      <c r="B11" s="19"/>
      <c r="C11" s="20"/>
      <c r="D11" s="24">
        <v>0.25</v>
      </c>
      <c r="E11" s="25">
        <v>6.75</v>
      </c>
    </row>
    <row r="12" spans="1:10">
      <c r="A12" s="19"/>
      <c r="B12" s="20"/>
      <c r="C12" s="20"/>
      <c r="D12" s="26"/>
      <c r="E12" s="25"/>
    </row>
    <row r="13" spans="1:10">
      <c r="A13" s="20" t="s">
        <v>384</v>
      </c>
      <c r="B13" s="23" t="s">
        <v>154</v>
      </c>
      <c r="C13" s="20" t="s">
        <v>23</v>
      </c>
      <c r="D13" s="21">
        <v>0.55000000000000004</v>
      </c>
      <c r="E13" s="22">
        <v>19.04</v>
      </c>
    </row>
    <row r="14" spans="1:10">
      <c r="A14" s="20" t="s">
        <v>398</v>
      </c>
      <c r="B14" s="23" t="s">
        <v>154</v>
      </c>
      <c r="C14" s="20" t="s">
        <v>23</v>
      </c>
      <c r="D14" s="21">
        <v>3.48</v>
      </c>
      <c r="E14" s="22">
        <v>88.83</v>
      </c>
    </row>
    <row r="15" spans="1:10">
      <c r="A15" s="19" t="s">
        <v>7</v>
      </c>
      <c r="B15" s="20"/>
      <c r="C15" s="20"/>
      <c r="D15" s="26">
        <f>SUM(D13:D14)</f>
        <v>4.03</v>
      </c>
      <c r="E15" s="25">
        <f>SUM(E13:E14)</f>
        <v>107.87</v>
      </c>
    </row>
    <row r="16" spans="1:10">
      <c r="A16" s="19"/>
      <c r="B16" s="23"/>
      <c r="C16" s="20"/>
      <c r="D16" s="26"/>
      <c r="E16" s="25"/>
    </row>
    <row r="17" spans="1:6">
      <c r="A17" s="20" t="s">
        <v>399</v>
      </c>
      <c r="B17" s="23" t="s">
        <v>198</v>
      </c>
      <c r="C17" s="20" t="s">
        <v>264</v>
      </c>
      <c r="D17" s="21">
        <v>0.83</v>
      </c>
      <c r="E17" s="22">
        <v>20.63</v>
      </c>
    </row>
    <row r="18" spans="1:6">
      <c r="A18" s="19" t="s">
        <v>7</v>
      </c>
      <c r="B18" s="20"/>
      <c r="C18" s="20"/>
      <c r="D18" s="26">
        <f>SUM(D17)</f>
        <v>0.83</v>
      </c>
      <c r="E18" s="25">
        <f>SUM(E17)</f>
        <v>20.63</v>
      </c>
    </row>
    <row r="19" spans="1:6">
      <c r="A19" s="19"/>
      <c r="B19" s="20"/>
      <c r="C19" s="20"/>
      <c r="D19" s="26"/>
      <c r="E19" s="25"/>
    </row>
    <row r="20" spans="1:6">
      <c r="A20" s="20" t="s">
        <v>335</v>
      </c>
      <c r="B20" s="23" t="s">
        <v>156</v>
      </c>
      <c r="C20" s="20" t="s">
        <v>91</v>
      </c>
      <c r="D20" s="21">
        <v>0.5</v>
      </c>
      <c r="E20" s="22">
        <v>15</v>
      </c>
    </row>
    <row r="21" spans="1:6">
      <c r="A21" s="20" t="s">
        <v>92</v>
      </c>
      <c r="B21" s="23" t="s">
        <v>156</v>
      </c>
      <c r="C21" s="20" t="s">
        <v>91</v>
      </c>
      <c r="D21" s="21">
        <v>0.17</v>
      </c>
      <c r="E21" s="22">
        <v>4.59</v>
      </c>
    </row>
    <row r="22" spans="1:6">
      <c r="A22" s="20" t="s">
        <v>400</v>
      </c>
      <c r="B22" s="23" t="s">
        <v>156</v>
      </c>
      <c r="C22" s="20" t="s">
        <v>91</v>
      </c>
      <c r="D22" s="21">
        <v>1.55</v>
      </c>
      <c r="E22" s="22">
        <v>39.53</v>
      </c>
    </row>
    <row r="23" spans="1:6">
      <c r="A23" s="19" t="s">
        <v>7</v>
      </c>
      <c r="B23" s="20"/>
      <c r="C23" s="20"/>
      <c r="D23" s="26">
        <f>SUM(D20:D22)</f>
        <v>2.2200000000000002</v>
      </c>
      <c r="E23" s="25">
        <f>SUM(E20:E22)</f>
        <v>59.120000000000005</v>
      </c>
    </row>
    <row r="24" spans="1:6">
      <c r="A24" s="20"/>
      <c r="B24" s="20"/>
      <c r="C24" s="20"/>
      <c r="D24" s="21"/>
      <c r="E24" s="22"/>
    </row>
    <row r="25" spans="1:6">
      <c r="A25" s="27" t="s">
        <v>405</v>
      </c>
      <c r="B25" s="28" t="s">
        <v>157</v>
      </c>
      <c r="C25" s="27" t="s">
        <v>66</v>
      </c>
      <c r="D25" s="29">
        <v>21.968</v>
      </c>
      <c r="E25" s="30">
        <v>445.16</v>
      </c>
      <c r="F25" s="20" t="s">
        <v>310</v>
      </c>
    </row>
    <row r="26" spans="1:6">
      <c r="A26" s="27" t="s">
        <v>290</v>
      </c>
      <c r="B26" s="28" t="s">
        <v>157</v>
      </c>
      <c r="C26" s="27" t="s">
        <v>66</v>
      </c>
      <c r="D26" s="29">
        <v>9.1199999999999992</v>
      </c>
      <c r="E26" s="30">
        <v>198.29</v>
      </c>
      <c r="F26" s="20" t="s">
        <v>310</v>
      </c>
    </row>
    <row r="27" spans="1:6">
      <c r="A27" s="27" t="s">
        <v>391</v>
      </c>
      <c r="B27" s="28" t="s">
        <v>157</v>
      </c>
      <c r="C27" s="27" t="s">
        <v>66</v>
      </c>
      <c r="D27" s="29">
        <v>13.28</v>
      </c>
      <c r="E27" s="30">
        <v>273.97000000000003</v>
      </c>
      <c r="F27" s="20" t="s">
        <v>310</v>
      </c>
    </row>
    <row r="28" spans="1:6">
      <c r="A28" s="27" t="s">
        <v>175</v>
      </c>
      <c r="B28" s="28" t="s">
        <v>157</v>
      </c>
      <c r="C28" s="27" t="s">
        <v>66</v>
      </c>
      <c r="D28" s="29">
        <v>6</v>
      </c>
      <c r="E28" s="30">
        <v>121.5</v>
      </c>
      <c r="F28" s="20" t="s">
        <v>310</v>
      </c>
    </row>
    <row r="29" spans="1:6">
      <c r="A29" s="27" t="s">
        <v>228</v>
      </c>
      <c r="B29" s="28" t="s">
        <v>157</v>
      </c>
      <c r="C29" s="27" t="s">
        <v>66</v>
      </c>
      <c r="D29" s="29">
        <v>21.93</v>
      </c>
      <c r="E29" s="30">
        <v>477.05</v>
      </c>
      <c r="F29" s="20" t="s">
        <v>310</v>
      </c>
    </row>
    <row r="30" spans="1:6">
      <c r="A30" s="27" t="s">
        <v>410</v>
      </c>
      <c r="B30" s="28" t="s">
        <v>157</v>
      </c>
      <c r="C30" s="27" t="s">
        <v>66</v>
      </c>
      <c r="D30" s="29">
        <v>4.67</v>
      </c>
      <c r="E30" s="30">
        <v>91</v>
      </c>
      <c r="F30" s="20" t="s">
        <v>310</v>
      </c>
    </row>
    <row r="31" spans="1:6">
      <c r="A31" s="27" t="s">
        <v>75</v>
      </c>
      <c r="B31" s="28" t="s">
        <v>157</v>
      </c>
      <c r="C31" s="27" t="s">
        <v>66</v>
      </c>
      <c r="D31" s="29">
        <v>5.08</v>
      </c>
      <c r="E31" s="30">
        <v>114.38</v>
      </c>
      <c r="F31" s="20" t="s">
        <v>310</v>
      </c>
    </row>
    <row r="32" spans="1:6">
      <c r="A32" s="27" t="s">
        <v>237</v>
      </c>
      <c r="B32" s="28" t="s">
        <v>157</v>
      </c>
      <c r="C32" s="27" t="s">
        <v>66</v>
      </c>
      <c r="D32" s="29">
        <v>4.92</v>
      </c>
      <c r="E32" s="30">
        <v>118</v>
      </c>
      <c r="F32" s="20" t="s">
        <v>310</v>
      </c>
    </row>
    <row r="33" spans="1:6">
      <c r="A33" s="27" t="s">
        <v>292</v>
      </c>
      <c r="B33" s="28" t="s">
        <v>157</v>
      </c>
      <c r="C33" s="27" t="s">
        <v>66</v>
      </c>
      <c r="D33" s="91">
        <v>4.1500000000000004</v>
      </c>
      <c r="E33" s="30">
        <v>99.6</v>
      </c>
      <c r="F33" s="20" t="s">
        <v>310</v>
      </c>
    </row>
    <row r="34" spans="1:6">
      <c r="A34" s="27" t="s">
        <v>406</v>
      </c>
      <c r="B34" s="28" t="s">
        <v>157</v>
      </c>
      <c r="C34" s="27" t="s">
        <v>66</v>
      </c>
      <c r="D34" s="91">
        <v>4.3499999999999996</v>
      </c>
      <c r="E34" s="30">
        <v>89.72</v>
      </c>
      <c r="F34" s="20" t="s">
        <v>310</v>
      </c>
    </row>
    <row r="35" spans="1:6">
      <c r="A35" s="27" t="s">
        <v>85</v>
      </c>
      <c r="B35" s="28" t="s">
        <v>157</v>
      </c>
      <c r="C35" s="27" t="s">
        <v>66</v>
      </c>
      <c r="D35" s="27">
        <v>17.77</v>
      </c>
      <c r="E35" s="30">
        <v>439.73</v>
      </c>
      <c r="F35" s="20" t="s">
        <v>310</v>
      </c>
    </row>
    <row r="36" spans="1:6">
      <c r="A36" s="27" t="s">
        <v>159</v>
      </c>
      <c r="B36" s="28" t="s">
        <v>157</v>
      </c>
      <c r="C36" s="27" t="s">
        <v>66</v>
      </c>
      <c r="D36" s="91">
        <v>24.43</v>
      </c>
      <c r="E36" s="30">
        <v>586.4</v>
      </c>
      <c r="F36" s="20" t="s">
        <v>310</v>
      </c>
    </row>
    <row r="37" spans="1:6">
      <c r="A37" s="20" t="s">
        <v>88</v>
      </c>
      <c r="B37" s="23" t="s">
        <v>157</v>
      </c>
      <c r="C37" s="20" t="s">
        <v>66</v>
      </c>
      <c r="D37" s="55">
        <v>2</v>
      </c>
      <c r="E37" s="22">
        <v>48</v>
      </c>
    </row>
    <row r="38" spans="1:6">
      <c r="A38" s="27" t="s">
        <v>407</v>
      </c>
      <c r="B38" s="28" t="s">
        <v>157</v>
      </c>
      <c r="C38" s="27" t="s">
        <v>66</v>
      </c>
      <c r="D38" s="91">
        <v>13.88</v>
      </c>
      <c r="E38" s="30">
        <v>291.55</v>
      </c>
      <c r="F38" s="20" t="s">
        <v>310</v>
      </c>
    </row>
    <row r="39" spans="1:6">
      <c r="A39" s="27" t="s">
        <v>328</v>
      </c>
      <c r="B39" s="28" t="s">
        <v>157</v>
      </c>
      <c r="C39" s="27" t="s">
        <v>66</v>
      </c>
      <c r="D39" s="91">
        <v>67.22</v>
      </c>
      <c r="E39" s="30">
        <v>1663.61</v>
      </c>
      <c r="F39" s="20" t="s">
        <v>310</v>
      </c>
    </row>
    <row r="40" spans="1:6">
      <c r="A40" s="27" t="s">
        <v>270</v>
      </c>
      <c r="B40" s="28" t="s">
        <v>157</v>
      </c>
      <c r="C40" s="27" t="s">
        <v>66</v>
      </c>
      <c r="D40" s="91">
        <v>45.13</v>
      </c>
      <c r="E40" s="30">
        <v>1286.3</v>
      </c>
      <c r="F40" s="20" t="s">
        <v>310</v>
      </c>
    </row>
    <row r="41" spans="1:6">
      <c r="A41" s="27" t="s">
        <v>79</v>
      </c>
      <c r="B41" s="28" t="s">
        <v>157</v>
      </c>
      <c r="C41" s="27" t="s">
        <v>66</v>
      </c>
      <c r="D41" s="27">
        <v>4.4800000000000004</v>
      </c>
      <c r="E41" s="30">
        <v>107.6</v>
      </c>
      <c r="F41" s="20" t="s">
        <v>310</v>
      </c>
    </row>
    <row r="42" spans="1:6">
      <c r="A42" s="27" t="s">
        <v>375</v>
      </c>
      <c r="B42" s="28" t="s">
        <v>157</v>
      </c>
      <c r="C42" s="27" t="s">
        <v>66</v>
      </c>
      <c r="D42" s="27">
        <v>23.28</v>
      </c>
      <c r="E42" s="30">
        <v>480.22</v>
      </c>
      <c r="F42" s="20" t="s">
        <v>310</v>
      </c>
    </row>
    <row r="43" spans="1:6">
      <c r="A43" s="27" t="s">
        <v>161</v>
      </c>
      <c r="B43" s="28" t="s">
        <v>157</v>
      </c>
      <c r="C43" s="27" t="s">
        <v>66</v>
      </c>
      <c r="D43" s="27">
        <v>5.67</v>
      </c>
      <c r="E43" s="30">
        <v>123.25</v>
      </c>
      <c r="F43" s="20" t="s">
        <v>310</v>
      </c>
    </row>
    <row r="44" spans="1:6">
      <c r="A44" s="19" t="s">
        <v>7</v>
      </c>
      <c r="B44" s="20"/>
      <c r="C44" s="20"/>
      <c r="D44" s="26">
        <f>SUM(D25:D43)</f>
        <v>299.32800000000003</v>
      </c>
      <c r="E44" s="25">
        <f>SUM(E25:E43)</f>
        <v>7055.3300000000008</v>
      </c>
    </row>
    <row r="45" spans="1:6">
      <c r="A45" s="19"/>
      <c r="B45" s="20"/>
      <c r="C45" s="20"/>
      <c r="D45" s="26"/>
      <c r="E45" s="25"/>
    </row>
    <row r="46" spans="1:6">
      <c r="A46" s="27" t="s">
        <v>163</v>
      </c>
      <c r="B46" s="28" t="s">
        <v>162</v>
      </c>
      <c r="C46" s="27" t="s">
        <v>51</v>
      </c>
      <c r="D46" s="29">
        <v>21</v>
      </c>
      <c r="E46" s="30">
        <v>598.5</v>
      </c>
      <c r="F46" s="20" t="s">
        <v>310</v>
      </c>
    </row>
    <row r="47" spans="1:6">
      <c r="A47" s="27" t="s">
        <v>50</v>
      </c>
      <c r="B47" s="28" t="s">
        <v>162</v>
      </c>
      <c r="C47" s="27" t="s">
        <v>51</v>
      </c>
      <c r="D47" s="29">
        <v>12</v>
      </c>
      <c r="E47" s="30">
        <v>234</v>
      </c>
      <c r="F47" s="20" t="s">
        <v>310</v>
      </c>
    </row>
    <row r="48" spans="1:6">
      <c r="A48" s="19" t="s">
        <v>7</v>
      </c>
      <c r="B48" s="23"/>
      <c r="C48" s="20"/>
      <c r="D48" s="26">
        <f>SUM(D46:D47)</f>
        <v>33</v>
      </c>
      <c r="E48" s="25">
        <f>SUM(E46:E47)</f>
        <v>832.5</v>
      </c>
    </row>
    <row r="49" spans="1:6">
      <c r="A49" s="19"/>
      <c r="B49" s="20"/>
      <c r="C49" s="20"/>
      <c r="D49" s="26"/>
      <c r="E49" s="25"/>
    </row>
    <row r="50" spans="1:6">
      <c r="A50" s="27" t="s">
        <v>203</v>
      </c>
      <c r="B50" s="28" t="s">
        <v>164</v>
      </c>
      <c r="C50" s="27" t="s">
        <v>60</v>
      </c>
      <c r="D50" s="29">
        <v>11.76</v>
      </c>
      <c r="E50" s="30">
        <v>247.1</v>
      </c>
      <c r="F50" s="20" t="s">
        <v>310</v>
      </c>
    </row>
    <row r="51" spans="1:6">
      <c r="A51" s="20" t="s">
        <v>411</v>
      </c>
      <c r="B51" s="23" t="s">
        <v>164</v>
      </c>
      <c r="C51" s="20" t="s">
        <v>60</v>
      </c>
      <c r="D51" s="21">
        <v>0.27</v>
      </c>
      <c r="E51" s="22">
        <v>7.2</v>
      </c>
    </row>
    <row r="52" spans="1:6">
      <c r="A52" s="27" t="s">
        <v>64</v>
      </c>
      <c r="B52" s="28" t="s">
        <v>164</v>
      </c>
      <c r="C52" s="27" t="s">
        <v>60</v>
      </c>
      <c r="D52" s="29">
        <v>19.149999999999999</v>
      </c>
      <c r="E52" s="30">
        <v>402.15</v>
      </c>
      <c r="F52" s="20" t="s">
        <v>310</v>
      </c>
    </row>
    <row r="53" spans="1:6">
      <c r="A53" s="27" t="s">
        <v>339</v>
      </c>
      <c r="B53" s="28" t="s">
        <v>164</v>
      </c>
      <c r="C53" s="27" t="s">
        <v>60</v>
      </c>
      <c r="D53" s="29">
        <v>11.82</v>
      </c>
      <c r="E53" s="30">
        <v>283.60000000000002</v>
      </c>
      <c r="F53" s="20" t="s">
        <v>310</v>
      </c>
    </row>
    <row r="54" spans="1:6">
      <c r="A54" s="19" t="s">
        <v>7</v>
      </c>
      <c r="B54" s="20"/>
      <c r="C54" s="20"/>
      <c r="D54" s="26">
        <f>SUM(D50:D53)</f>
        <v>43</v>
      </c>
      <c r="E54" s="25">
        <f>SUM(E50:E53)</f>
        <v>940.05</v>
      </c>
    </row>
    <row r="55" spans="1:6">
      <c r="A55" s="19"/>
      <c r="B55" s="20"/>
      <c r="C55" s="20"/>
      <c r="D55" s="26"/>
      <c r="E55" s="25"/>
    </row>
    <row r="56" spans="1:6">
      <c r="A56" s="27" t="s">
        <v>412</v>
      </c>
      <c r="B56" s="28" t="s">
        <v>165</v>
      </c>
      <c r="C56" s="27" t="s">
        <v>45</v>
      </c>
      <c r="D56" s="29">
        <v>5</v>
      </c>
      <c r="E56" s="30">
        <v>112.5</v>
      </c>
      <c r="F56" s="20" t="s">
        <v>310</v>
      </c>
    </row>
    <row r="57" spans="1:6">
      <c r="A57" s="19" t="s">
        <v>7</v>
      </c>
      <c r="B57" s="20"/>
      <c r="C57" s="20"/>
      <c r="D57" s="26">
        <f>SUM(D56)</f>
        <v>5</v>
      </c>
      <c r="E57" s="25">
        <f>SUM(E56)</f>
        <v>112.5</v>
      </c>
    </row>
    <row r="58" spans="1:6">
      <c r="A58" s="19"/>
      <c r="B58" s="20"/>
      <c r="C58" s="20"/>
      <c r="D58" s="26"/>
      <c r="E58" s="25"/>
    </row>
    <row r="59" spans="1:6">
      <c r="A59" s="27" t="s">
        <v>166</v>
      </c>
      <c r="B59" s="28" t="s">
        <v>167</v>
      </c>
      <c r="C59" s="27" t="s">
        <v>54</v>
      </c>
      <c r="D59" s="29">
        <v>6.15</v>
      </c>
      <c r="E59" s="30">
        <v>147.6</v>
      </c>
      <c r="F59" s="20" t="s">
        <v>310</v>
      </c>
    </row>
    <row r="60" spans="1:6">
      <c r="A60" s="19" t="s">
        <v>7</v>
      </c>
      <c r="B60" s="23"/>
      <c r="C60" s="20"/>
      <c r="D60" s="26">
        <f>SUM(D59)</f>
        <v>6.15</v>
      </c>
      <c r="E60" s="25">
        <f>SUM(E59)</f>
        <v>147.6</v>
      </c>
    </row>
    <row r="61" spans="1:6">
      <c r="A61" s="19"/>
      <c r="B61" s="23"/>
      <c r="C61" s="20"/>
      <c r="D61" s="26"/>
      <c r="E61" s="25"/>
    </row>
    <row r="62" spans="1:6">
      <c r="A62" s="20" t="s">
        <v>367</v>
      </c>
      <c r="B62" s="23" t="s">
        <v>171</v>
      </c>
      <c r="C62" s="20" t="s">
        <v>25</v>
      </c>
      <c r="D62" s="21">
        <v>0.37</v>
      </c>
      <c r="E62" s="22">
        <v>9.49</v>
      </c>
    </row>
    <row r="63" spans="1:6">
      <c r="A63" s="20" t="s">
        <v>286</v>
      </c>
      <c r="B63" s="20" t="s">
        <v>171</v>
      </c>
      <c r="C63" s="20" t="s">
        <v>25</v>
      </c>
      <c r="D63" s="21">
        <v>0.9</v>
      </c>
      <c r="E63" s="22">
        <v>24.64</v>
      </c>
    </row>
    <row r="64" spans="1:6">
      <c r="A64" s="20" t="s">
        <v>368</v>
      </c>
      <c r="B64" s="23" t="s">
        <v>171</v>
      </c>
      <c r="C64" s="20" t="s">
        <v>25</v>
      </c>
      <c r="D64" s="21">
        <v>2.6</v>
      </c>
      <c r="E64" s="22">
        <v>76.05</v>
      </c>
    </row>
    <row r="65" spans="1:6">
      <c r="A65" s="19" t="s">
        <v>7</v>
      </c>
      <c r="B65" s="20"/>
      <c r="C65" s="20"/>
      <c r="D65" s="26">
        <f>SUM(D62:D64)</f>
        <v>3.87</v>
      </c>
      <c r="E65" s="25">
        <f>SUM(E62:E64)</f>
        <v>110.18</v>
      </c>
    </row>
    <row r="66" spans="1:6">
      <c r="A66" s="19"/>
      <c r="B66" s="20"/>
      <c r="C66" s="20"/>
      <c r="D66" s="26"/>
      <c r="E66" s="25"/>
    </row>
    <row r="67" spans="1:6">
      <c r="A67" s="20" t="s">
        <v>394</v>
      </c>
      <c r="B67" s="23" t="s">
        <v>172</v>
      </c>
      <c r="C67" s="20" t="s">
        <v>348</v>
      </c>
      <c r="D67" s="21">
        <v>0.47</v>
      </c>
      <c r="E67" s="22">
        <v>16.32</v>
      </c>
    </row>
    <row r="68" spans="1:6">
      <c r="A68" s="20" t="s">
        <v>13</v>
      </c>
      <c r="B68" s="23" t="s">
        <v>172</v>
      </c>
      <c r="C68" s="20" t="s">
        <v>348</v>
      </c>
      <c r="D68" s="21">
        <v>0.05</v>
      </c>
      <c r="E68" s="22">
        <v>1.89</v>
      </c>
    </row>
    <row r="69" spans="1:6">
      <c r="A69" s="20" t="s">
        <v>413</v>
      </c>
      <c r="B69" s="23" t="s">
        <v>172</v>
      </c>
      <c r="C69" s="20" t="s">
        <v>348</v>
      </c>
      <c r="D69" s="21">
        <v>0.77</v>
      </c>
      <c r="E69" s="22">
        <v>26.27</v>
      </c>
    </row>
    <row r="70" spans="1:6">
      <c r="A70" s="19" t="s">
        <v>7</v>
      </c>
      <c r="B70" s="20"/>
      <c r="C70" s="20"/>
      <c r="D70" s="26">
        <f>SUM(D67:D69)</f>
        <v>1.29</v>
      </c>
      <c r="E70" s="25">
        <f>SUM(E67:E69)</f>
        <v>44.480000000000004</v>
      </c>
    </row>
    <row r="71" spans="1:6">
      <c r="A71" s="20"/>
      <c r="B71" s="20"/>
      <c r="C71" s="20"/>
      <c r="D71" s="21"/>
      <c r="E71" s="22"/>
    </row>
    <row r="72" spans="1:6">
      <c r="A72" s="20" t="s">
        <v>307</v>
      </c>
      <c r="B72" s="20">
        <v>100035</v>
      </c>
      <c r="C72" s="20" t="s">
        <v>332</v>
      </c>
      <c r="D72" s="21">
        <v>0.6</v>
      </c>
      <c r="E72" s="22">
        <v>22.56</v>
      </c>
    </row>
    <row r="73" spans="1:6">
      <c r="A73" s="47" t="s">
        <v>331</v>
      </c>
      <c r="B73" s="47">
        <v>100035</v>
      </c>
      <c r="C73" s="47" t="s">
        <v>332</v>
      </c>
      <c r="D73" s="49">
        <v>8.1199999999999992</v>
      </c>
      <c r="E73" s="50">
        <v>253.94</v>
      </c>
      <c r="F73" s="20" t="s">
        <v>310</v>
      </c>
    </row>
    <row r="74" spans="1:6">
      <c r="A74" s="19" t="s">
        <v>7</v>
      </c>
      <c r="B74" s="20"/>
      <c r="C74" s="20"/>
      <c r="D74" s="26">
        <f>SUM(D72:D73)</f>
        <v>8.7199999999999989</v>
      </c>
      <c r="E74" s="25">
        <f>SUM(E72:E73)</f>
        <v>276.5</v>
      </c>
    </row>
    <row r="75" spans="1:6">
      <c r="A75" s="19"/>
      <c r="B75" s="20"/>
      <c r="C75" s="20"/>
      <c r="D75" s="21"/>
      <c r="E75" s="22"/>
    </row>
    <row r="76" spans="1:6">
      <c r="A76" s="27" t="s">
        <v>395</v>
      </c>
      <c r="B76" s="27">
        <v>100051</v>
      </c>
      <c r="C76" s="27" t="s">
        <v>34</v>
      </c>
      <c r="D76" s="29">
        <v>6</v>
      </c>
      <c r="E76" s="30">
        <v>121.5</v>
      </c>
      <c r="F76" s="20" t="s">
        <v>310</v>
      </c>
    </row>
    <row r="77" spans="1:6">
      <c r="A77" s="27" t="s">
        <v>211</v>
      </c>
      <c r="B77" s="27">
        <v>100051</v>
      </c>
      <c r="C77" s="27" t="s">
        <v>34</v>
      </c>
      <c r="D77" s="29">
        <v>6</v>
      </c>
      <c r="E77" s="30">
        <v>121.5</v>
      </c>
      <c r="F77" s="20" t="s">
        <v>310</v>
      </c>
    </row>
    <row r="78" spans="1:6">
      <c r="A78" s="27" t="s">
        <v>380</v>
      </c>
      <c r="B78" s="27">
        <v>100051</v>
      </c>
      <c r="C78" s="27" t="s">
        <v>34</v>
      </c>
      <c r="D78" s="29">
        <v>6</v>
      </c>
      <c r="E78" s="30">
        <v>121.5</v>
      </c>
      <c r="F78" s="20" t="s">
        <v>310</v>
      </c>
    </row>
    <row r="79" spans="1:6">
      <c r="A79" s="27" t="s">
        <v>37</v>
      </c>
      <c r="B79" s="27">
        <v>100051</v>
      </c>
      <c r="C79" s="27" t="s">
        <v>34</v>
      </c>
      <c r="D79" s="29">
        <v>5.98</v>
      </c>
      <c r="E79" s="30">
        <v>148.09</v>
      </c>
      <c r="F79" s="20" t="s">
        <v>310</v>
      </c>
    </row>
    <row r="80" spans="1:6">
      <c r="A80" s="27" t="s">
        <v>213</v>
      </c>
      <c r="B80" s="27">
        <v>100051</v>
      </c>
      <c r="C80" s="27" t="s">
        <v>34</v>
      </c>
      <c r="D80" s="29">
        <v>11.07</v>
      </c>
      <c r="E80" s="30">
        <v>240.7</v>
      </c>
      <c r="F80" s="20" t="s">
        <v>310</v>
      </c>
    </row>
    <row r="81" spans="1:6">
      <c r="A81" s="20" t="s">
        <v>414</v>
      </c>
      <c r="B81" s="20">
        <v>100051</v>
      </c>
      <c r="C81" s="20" t="s">
        <v>34</v>
      </c>
      <c r="D81" s="21">
        <v>1.65</v>
      </c>
      <c r="E81" s="22">
        <v>34.65</v>
      </c>
    </row>
    <row r="82" spans="1:6">
      <c r="A82" s="27" t="s">
        <v>341</v>
      </c>
      <c r="B82" s="27">
        <v>100051</v>
      </c>
      <c r="C82" s="27" t="s">
        <v>34</v>
      </c>
      <c r="D82" s="29">
        <v>4</v>
      </c>
      <c r="E82" s="30">
        <v>81</v>
      </c>
      <c r="F82" s="20" t="s">
        <v>310</v>
      </c>
    </row>
    <row r="83" spans="1:6">
      <c r="A83" s="19" t="s">
        <v>7</v>
      </c>
      <c r="B83" s="20"/>
      <c r="C83" s="20"/>
      <c r="D83" s="26">
        <f>SUM(D76:D82)</f>
        <v>40.699999999999996</v>
      </c>
      <c r="E83" s="25">
        <f>SUM(E76:E82)</f>
        <v>868.93999999999994</v>
      </c>
    </row>
    <row r="84" spans="1:6">
      <c r="A84" s="19"/>
      <c r="B84" s="20"/>
      <c r="C84" s="20"/>
      <c r="D84" s="26"/>
      <c r="E84" s="25"/>
    </row>
    <row r="85" spans="1:6">
      <c r="A85" s="19"/>
      <c r="B85" s="20"/>
      <c r="C85" s="20"/>
      <c r="D85" s="26"/>
      <c r="E85" s="25"/>
    </row>
    <row r="86" spans="1:6">
      <c r="A86" s="20" t="s">
        <v>369</v>
      </c>
      <c r="B86" s="20">
        <v>450044</v>
      </c>
      <c r="C86" s="20" t="s">
        <v>134</v>
      </c>
      <c r="D86" s="21">
        <v>0.57999999999999996</v>
      </c>
      <c r="E86" s="22">
        <v>12.64</v>
      </c>
    </row>
    <row r="87" spans="1:6">
      <c r="A87" s="19" t="s">
        <v>7</v>
      </c>
      <c r="B87" s="20"/>
      <c r="C87" s="20"/>
      <c r="D87" s="26">
        <f>SUM(D86)</f>
        <v>0.57999999999999996</v>
      </c>
      <c r="E87" s="25">
        <f>SUM(E86)</f>
        <v>12.64</v>
      </c>
    </row>
    <row r="88" spans="1:6">
      <c r="A88" s="19"/>
      <c r="B88" s="20"/>
      <c r="C88" s="20"/>
      <c r="D88" s="26"/>
      <c r="E88" s="25"/>
    </row>
    <row r="89" spans="1:6">
      <c r="A89" s="20" t="s">
        <v>346</v>
      </c>
      <c r="B89" s="23">
        <v>450046</v>
      </c>
      <c r="C89" s="20" t="s">
        <v>128</v>
      </c>
      <c r="D89" s="21">
        <v>0.57999999999999996</v>
      </c>
      <c r="E89" s="22">
        <v>17.5</v>
      </c>
    </row>
    <row r="90" spans="1:6">
      <c r="A90" s="19" t="s">
        <v>7</v>
      </c>
      <c r="B90" s="20"/>
      <c r="C90" s="20"/>
      <c r="D90" s="26">
        <f>SUM(D89)</f>
        <v>0.57999999999999996</v>
      </c>
      <c r="E90" s="25">
        <f>SUM(E89)</f>
        <v>17.5</v>
      </c>
    </row>
    <row r="91" spans="1:6">
      <c r="A91" s="19"/>
      <c r="B91" s="20"/>
      <c r="C91" s="20"/>
      <c r="D91" s="26"/>
      <c r="E91" s="25"/>
    </row>
    <row r="92" spans="1:6">
      <c r="A92" s="20" t="s">
        <v>282</v>
      </c>
      <c r="B92" s="20">
        <v>450048</v>
      </c>
      <c r="C92" s="20" t="s">
        <v>388</v>
      </c>
      <c r="D92" s="21">
        <v>0.03</v>
      </c>
      <c r="E92" s="22">
        <v>0.83</v>
      </c>
    </row>
    <row r="93" spans="1:6">
      <c r="A93" s="19" t="s">
        <v>7</v>
      </c>
      <c r="B93" s="20"/>
      <c r="C93" s="20"/>
      <c r="D93" s="26">
        <f>SUM(D92)</f>
        <v>0.03</v>
      </c>
      <c r="E93" s="25">
        <f>SUM(E92)</f>
        <v>0.83</v>
      </c>
    </row>
    <row r="94" spans="1:6">
      <c r="A94" s="19"/>
      <c r="B94" s="20"/>
      <c r="C94" s="20"/>
      <c r="D94" s="26"/>
      <c r="E94" s="25"/>
    </row>
    <row r="95" spans="1:6">
      <c r="A95" s="20" t="s">
        <v>97</v>
      </c>
      <c r="B95" s="20" t="s">
        <v>181</v>
      </c>
      <c r="C95" s="20" t="s">
        <v>98</v>
      </c>
      <c r="D95" s="21">
        <v>3.3</v>
      </c>
      <c r="E95" s="22">
        <v>103.01</v>
      </c>
    </row>
    <row r="96" spans="1:6">
      <c r="A96" s="19" t="s">
        <v>7</v>
      </c>
      <c r="B96" s="20"/>
      <c r="C96" s="20"/>
      <c r="D96" s="26">
        <f>SUM(D95)</f>
        <v>3.3</v>
      </c>
      <c r="E96" s="25">
        <f>SUM(E95)</f>
        <v>103.01</v>
      </c>
    </row>
    <row r="97" spans="1:6">
      <c r="A97" s="19"/>
      <c r="B97" s="20"/>
      <c r="C97" s="20"/>
      <c r="D97" s="26"/>
      <c r="E97" s="25"/>
    </row>
    <row r="98" spans="1:6">
      <c r="A98" s="32" t="s">
        <v>39</v>
      </c>
      <c r="B98" s="32">
        <v>550051</v>
      </c>
      <c r="C98" s="32" t="s">
        <v>104</v>
      </c>
      <c r="D98" s="33">
        <v>5.95</v>
      </c>
      <c r="E98" s="34">
        <v>138.34</v>
      </c>
      <c r="F98" s="20" t="s">
        <v>310</v>
      </c>
    </row>
    <row r="99" spans="1:6">
      <c r="A99" s="19" t="s">
        <v>7</v>
      </c>
      <c r="B99" s="20"/>
      <c r="C99" s="20"/>
      <c r="D99" s="26">
        <f>SUM(D98)</f>
        <v>5.95</v>
      </c>
      <c r="E99" s="25">
        <f>SUM(E98)</f>
        <v>138.34</v>
      </c>
    </row>
    <row r="100" spans="1:6">
      <c r="A100" s="19"/>
      <c r="B100" s="20"/>
      <c r="C100" s="20"/>
      <c r="D100" s="26"/>
      <c r="E100" s="25"/>
    </row>
    <row r="101" spans="1:6">
      <c r="A101" s="32" t="s">
        <v>41</v>
      </c>
      <c r="B101" s="32">
        <v>550052</v>
      </c>
      <c r="C101" s="32" t="s">
        <v>126</v>
      </c>
      <c r="D101" s="33">
        <v>5.97</v>
      </c>
      <c r="E101" s="34">
        <v>147.68</v>
      </c>
      <c r="F101" s="20" t="s">
        <v>310</v>
      </c>
    </row>
    <row r="102" spans="1:6">
      <c r="A102" s="19" t="s">
        <v>7</v>
      </c>
      <c r="B102" s="20"/>
      <c r="C102" s="20"/>
      <c r="D102" s="26">
        <f>SUM(D101)</f>
        <v>5.97</v>
      </c>
      <c r="E102" s="25">
        <f>SUM(E101)</f>
        <v>147.68</v>
      </c>
    </row>
    <row r="103" spans="1:6">
      <c r="A103" s="19"/>
      <c r="B103" s="20"/>
      <c r="C103" s="20"/>
      <c r="D103" s="26"/>
      <c r="E103" s="25"/>
    </row>
    <row r="104" spans="1:6">
      <c r="A104" s="19" t="s">
        <v>194</v>
      </c>
      <c r="B104" s="20"/>
      <c r="C104" s="20"/>
      <c r="D104" s="26">
        <v>489.78</v>
      </c>
      <c r="E104" s="25">
        <v>11740</v>
      </c>
    </row>
    <row r="105" spans="1:6">
      <c r="A105" s="20"/>
      <c r="B105" s="20"/>
      <c r="C105" s="20"/>
      <c r="D105" s="21"/>
      <c r="E105" s="22"/>
    </row>
    <row r="106" spans="1:6">
      <c r="A106" s="19"/>
      <c r="B106" s="20"/>
      <c r="C106" s="20"/>
      <c r="D106" s="26"/>
      <c r="E106" s="25"/>
    </row>
    <row r="107" spans="1:6">
      <c r="A107" s="20"/>
      <c r="B107" s="20"/>
      <c r="C107" s="20"/>
      <c r="D107" s="21"/>
      <c r="E107" s="22"/>
    </row>
    <row r="108" spans="1:6">
      <c r="A108" s="20"/>
      <c r="B108" s="20"/>
      <c r="C108" s="20"/>
      <c r="D108" s="21"/>
      <c r="E108" s="22"/>
    </row>
    <row r="109" spans="1:6">
      <c r="A109" s="19"/>
      <c r="B109" s="20"/>
      <c r="C109" s="20"/>
      <c r="D109" s="26"/>
      <c r="E109" s="25"/>
    </row>
    <row r="110" spans="1:6">
      <c r="A110" s="19"/>
      <c r="B110" s="20"/>
      <c r="C110" s="20"/>
      <c r="D110" s="26"/>
      <c r="E110" s="25"/>
    </row>
    <row r="111" spans="1:6">
      <c r="A111" s="20"/>
      <c r="B111" s="20"/>
      <c r="C111" s="20"/>
      <c r="D111" s="21"/>
      <c r="E111" s="22"/>
    </row>
    <row r="112" spans="1:6">
      <c r="A112" s="19"/>
      <c r="B112" s="20"/>
      <c r="C112" s="20"/>
      <c r="D112" s="26"/>
      <c r="E112" s="25"/>
    </row>
    <row r="113" spans="1:5">
      <c r="A113" s="19"/>
      <c r="B113" s="20"/>
      <c r="C113" s="20"/>
      <c r="D113" s="26"/>
      <c r="E113" s="25"/>
    </row>
    <row r="114" spans="1:5">
      <c r="A114" s="20"/>
      <c r="B114" s="20"/>
      <c r="C114" s="20"/>
      <c r="D114" s="21"/>
      <c r="E114" s="22"/>
    </row>
    <row r="115" spans="1:5">
      <c r="A115" s="19"/>
      <c r="B115" s="20"/>
      <c r="C115" s="20"/>
      <c r="D115" s="26"/>
      <c r="E115" s="25"/>
    </row>
    <row r="116" spans="1:5">
      <c r="A116" s="19"/>
      <c r="B116" s="20"/>
      <c r="C116" s="20"/>
      <c r="D116" s="26"/>
      <c r="E116" s="25"/>
    </row>
    <row r="117" spans="1:5">
      <c r="A117" s="20"/>
      <c r="B117" s="20"/>
      <c r="C117" s="20"/>
      <c r="D117" s="21"/>
      <c r="E117" s="22"/>
    </row>
  </sheetData>
  <mergeCells count="1">
    <mergeCell ref="G4:J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138"/>
  <sheetViews>
    <sheetView topLeftCell="A67" workbookViewId="0">
      <selection activeCell="G2" sqref="G2"/>
    </sheetView>
  </sheetViews>
  <sheetFormatPr defaultRowHeight="12.75"/>
  <cols>
    <col min="1" max="1" width="19.42578125" style="20" bestFit="1" customWidth="1"/>
    <col min="2" max="2" width="23.140625" style="20" bestFit="1" customWidth="1"/>
    <col min="3" max="3" width="33.85546875" style="20" bestFit="1" customWidth="1"/>
    <col min="4" max="4" width="20.42578125" style="20" bestFit="1" customWidth="1"/>
    <col min="5" max="5" width="23.28515625" style="20" bestFit="1" customWidth="1"/>
    <col min="6" max="6" width="13.85546875" style="20" bestFit="1" customWidth="1"/>
    <col min="7" max="7" width="18" style="20" customWidth="1"/>
    <col min="8" max="8" width="17.28515625" style="20" bestFit="1" customWidth="1"/>
    <col min="9" max="9" width="17.42578125" style="20" customWidth="1"/>
    <col min="10" max="10" width="18.28515625" style="20" customWidth="1"/>
    <col min="11" max="16384" width="9.140625" style="20"/>
  </cols>
  <sheetData>
    <row r="1" spans="1:10">
      <c r="A1" s="19" t="s">
        <v>147</v>
      </c>
      <c r="B1" s="19" t="s">
        <v>148</v>
      </c>
      <c r="C1" s="19" t="s">
        <v>149</v>
      </c>
      <c r="D1" s="19" t="s">
        <v>150</v>
      </c>
      <c r="E1" s="19" t="s">
        <v>151</v>
      </c>
      <c r="F1" s="11" t="s">
        <v>258</v>
      </c>
      <c r="G1" s="38" t="s">
        <v>259</v>
      </c>
      <c r="H1" s="88" t="s">
        <v>334</v>
      </c>
      <c r="I1" s="40" t="s">
        <v>260</v>
      </c>
      <c r="J1" s="39" t="s">
        <v>261</v>
      </c>
    </row>
    <row r="2" spans="1:10">
      <c r="A2" s="20" t="s">
        <v>20</v>
      </c>
      <c r="B2" s="20" t="s">
        <v>152</v>
      </c>
      <c r="C2" s="20" t="s">
        <v>15</v>
      </c>
      <c r="D2" s="21">
        <v>2.0499999999999998</v>
      </c>
      <c r="E2" s="22">
        <v>60.42</v>
      </c>
      <c r="G2" s="13">
        <f>E20+E25+E26+E27+E28+E29+E31+E32+E33+E34+E35+E36+E37+E38+E39+E41+E42+E43+E46+E47+E50+E51+E52+E53+E56+E57+E60+E61+E63+E84+E85+E86+E87+E88</f>
        <v>12466.759999999997</v>
      </c>
      <c r="H2" s="89">
        <f>D5+D6</f>
        <v>27.759999999999998</v>
      </c>
      <c r="I2" s="66">
        <f>E14</f>
        <v>182.33</v>
      </c>
      <c r="J2" s="16">
        <f>E104+E108</f>
        <v>196.20999999999998</v>
      </c>
    </row>
    <row r="3" spans="1:10">
      <c r="A3" s="20" t="s">
        <v>366</v>
      </c>
      <c r="B3" s="23" t="s">
        <v>152</v>
      </c>
      <c r="C3" s="20" t="s">
        <v>15</v>
      </c>
      <c r="D3" s="21">
        <v>0.33</v>
      </c>
      <c r="E3" s="22">
        <v>8.67</v>
      </c>
      <c r="G3"/>
      <c r="H3"/>
      <c r="I3"/>
      <c r="J3" s="18"/>
    </row>
    <row r="4" spans="1:10">
      <c r="A4" s="20" t="s">
        <v>389</v>
      </c>
      <c r="B4" s="23" t="s">
        <v>152</v>
      </c>
      <c r="C4" s="20" t="s">
        <v>15</v>
      </c>
      <c r="D4" s="21">
        <v>0.83</v>
      </c>
      <c r="E4" s="22">
        <v>24.04</v>
      </c>
      <c r="G4" s="305" t="s">
        <v>263</v>
      </c>
      <c r="H4" s="306"/>
      <c r="I4" s="306"/>
      <c r="J4" s="306"/>
    </row>
    <row r="5" spans="1:10">
      <c r="A5" s="109" t="s">
        <v>18</v>
      </c>
      <c r="B5" s="109" t="s">
        <v>152</v>
      </c>
      <c r="C5" s="109" t="s">
        <v>15</v>
      </c>
      <c r="D5" s="109">
        <v>18.93</v>
      </c>
      <c r="E5" s="109">
        <v>527.1</v>
      </c>
      <c r="F5" s="20" t="s">
        <v>310</v>
      </c>
    </row>
    <row r="6" spans="1:10">
      <c r="A6" s="109" t="s">
        <v>377</v>
      </c>
      <c r="B6" s="109" t="s">
        <v>152</v>
      </c>
      <c r="C6" s="109" t="s">
        <v>15</v>
      </c>
      <c r="D6" s="109">
        <v>8.83</v>
      </c>
      <c r="E6" s="109">
        <v>289.64999999999998</v>
      </c>
      <c r="F6" s="20" t="s">
        <v>310</v>
      </c>
    </row>
    <row r="7" spans="1:10">
      <c r="A7" s="20" t="s">
        <v>397</v>
      </c>
      <c r="B7" s="23" t="s">
        <v>152</v>
      </c>
      <c r="C7" s="20" t="s">
        <v>15</v>
      </c>
      <c r="D7" s="21">
        <v>0.77</v>
      </c>
      <c r="E7" s="22">
        <v>23.77</v>
      </c>
    </row>
    <row r="8" spans="1:10">
      <c r="A8" s="19" t="s">
        <v>7</v>
      </c>
      <c r="D8" s="24">
        <f>SUM(D2:D7)</f>
        <v>31.74</v>
      </c>
      <c r="E8" s="25">
        <f>SUM(E2:E7)</f>
        <v>933.65</v>
      </c>
    </row>
    <row r="9" spans="1:10">
      <c r="A9" s="19"/>
      <c r="D9" s="24"/>
      <c r="E9" s="25"/>
    </row>
    <row r="10" spans="1:10">
      <c r="A10" s="20" t="s">
        <v>390</v>
      </c>
      <c r="B10" s="23" t="s">
        <v>217</v>
      </c>
      <c r="C10" s="20" t="s">
        <v>218</v>
      </c>
      <c r="D10" s="55">
        <v>0.78</v>
      </c>
      <c r="E10" s="22">
        <v>21.15</v>
      </c>
    </row>
    <row r="11" spans="1:10">
      <c r="A11" s="19" t="s">
        <v>7</v>
      </c>
      <c r="B11" s="19"/>
      <c r="D11" s="24">
        <f>SUM(D10)</f>
        <v>0.78</v>
      </c>
      <c r="E11" s="25">
        <f>SUM(E10)</f>
        <v>21.15</v>
      </c>
    </row>
    <row r="12" spans="1:10">
      <c r="A12" s="19"/>
      <c r="D12" s="26"/>
      <c r="E12" s="25"/>
    </row>
    <row r="13" spans="1:10">
      <c r="A13" s="20" t="s">
        <v>384</v>
      </c>
      <c r="B13" s="23" t="s">
        <v>154</v>
      </c>
      <c r="C13" s="20" t="s">
        <v>23</v>
      </c>
      <c r="D13" s="21">
        <v>2.42</v>
      </c>
      <c r="E13" s="22">
        <v>83.67</v>
      </c>
    </row>
    <row r="14" spans="1:10">
      <c r="A14" s="47" t="s">
        <v>398</v>
      </c>
      <c r="B14" s="48" t="s">
        <v>154</v>
      </c>
      <c r="C14" s="47" t="s">
        <v>23</v>
      </c>
      <c r="D14" s="49">
        <v>7.15</v>
      </c>
      <c r="E14" s="50">
        <v>182.33</v>
      </c>
      <c r="F14" s="20" t="s">
        <v>310</v>
      </c>
    </row>
    <row r="15" spans="1:10">
      <c r="A15" s="19" t="s">
        <v>7</v>
      </c>
      <c r="D15" s="26">
        <f>SUM(D13:D14)</f>
        <v>9.57</v>
      </c>
      <c r="E15" s="25">
        <f>SUM(E13:E14)</f>
        <v>266</v>
      </c>
    </row>
    <row r="16" spans="1:10">
      <c r="A16" s="19"/>
      <c r="B16" s="23"/>
      <c r="D16" s="26"/>
      <c r="E16" s="25"/>
    </row>
    <row r="17" spans="1:10">
      <c r="A17" s="20" t="s">
        <v>415</v>
      </c>
      <c r="B17" s="23" t="s">
        <v>155</v>
      </c>
      <c r="C17" s="20" t="s">
        <v>196</v>
      </c>
      <c r="D17" s="21">
        <v>0.08</v>
      </c>
      <c r="E17" s="22">
        <v>2.7</v>
      </c>
    </row>
    <row r="18" spans="1:10">
      <c r="A18" s="19" t="s">
        <v>7</v>
      </c>
      <c r="D18" s="26">
        <f>SUM(D17)</f>
        <v>0.08</v>
      </c>
      <c r="E18" s="25">
        <f>SUM(E17)</f>
        <v>2.7</v>
      </c>
    </row>
    <row r="19" spans="1:10">
      <c r="A19" s="19"/>
      <c r="D19" s="26"/>
      <c r="E19" s="25"/>
    </row>
    <row r="20" spans="1:10">
      <c r="A20" s="27" t="s">
        <v>335</v>
      </c>
      <c r="B20" s="28" t="s">
        <v>156</v>
      </c>
      <c r="C20" s="27" t="s">
        <v>91</v>
      </c>
      <c r="D20" s="29">
        <v>8.83</v>
      </c>
      <c r="E20" s="30">
        <v>265</v>
      </c>
      <c r="F20" s="20" t="s">
        <v>310</v>
      </c>
      <c r="G20" s="310" t="s">
        <v>416</v>
      </c>
      <c r="H20" s="306"/>
      <c r="I20" s="306"/>
      <c r="J20" s="306"/>
    </row>
    <row r="21" spans="1:10">
      <c r="A21" s="20" t="s">
        <v>400</v>
      </c>
      <c r="B21" s="23" t="s">
        <v>156</v>
      </c>
      <c r="C21" s="20" t="s">
        <v>91</v>
      </c>
      <c r="D21" s="21">
        <v>2.2200000000000002</v>
      </c>
      <c r="E21" s="22">
        <v>56.53</v>
      </c>
    </row>
    <row r="22" spans="1:10">
      <c r="A22" s="20" t="s">
        <v>417</v>
      </c>
      <c r="B22" s="23" t="s">
        <v>156</v>
      </c>
      <c r="C22" s="20" t="s">
        <v>91</v>
      </c>
      <c r="D22" s="21">
        <v>0.13</v>
      </c>
      <c r="E22" s="22">
        <v>3.3</v>
      </c>
    </row>
    <row r="23" spans="1:10">
      <c r="A23" s="19" t="s">
        <v>7</v>
      </c>
      <c r="D23" s="26">
        <f>SUM(D20:D22)</f>
        <v>11.180000000000001</v>
      </c>
      <c r="E23" s="25">
        <f>SUM(E20:E22)</f>
        <v>324.83</v>
      </c>
    </row>
    <row r="24" spans="1:10">
      <c r="D24" s="21"/>
      <c r="E24" s="22"/>
    </row>
    <row r="25" spans="1:10">
      <c r="A25" s="27" t="s">
        <v>290</v>
      </c>
      <c r="B25" s="28" t="s">
        <v>157</v>
      </c>
      <c r="C25" s="27" t="s">
        <v>66</v>
      </c>
      <c r="D25" s="29">
        <v>8.33</v>
      </c>
      <c r="E25" s="30">
        <v>189.24</v>
      </c>
      <c r="F25" s="20" t="s">
        <v>310</v>
      </c>
      <c r="G25" s="310" t="s">
        <v>416</v>
      </c>
      <c r="H25" s="306"/>
      <c r="I25" s="306"/>
      <c r="J25" s="306"/>
    </row>
    <row r="26" spans="1:10">
      <c r="A26" s="27" t="s">
        <v>391</v>
      </c>
      <c r="B26" s="28" t="s">
        <v>157</v>
      </c>
      <c r="C26" s="27" t="s">
        <v>66</v>
      </c>
      <c r="D26" s="29">
        <v>12.62</v>
      </c>
      <c r="E26" s="30">
        <v>272.02999999999997</v>
      </c>
      <c r="F26" s="20" t="s">
        <v>310</v>
      </c>
      <c r="G26" s="310" t="s">
        <v>416</v>
      </c>
      <c r="H26" s="306"/>
      <c r="I26" s="306"/>
      <c r="J26" s="306"/>
    </row>
    <row r="27" spans="1:10">
      <c r="A27" s="27" t="s">
        <v>175</v>
      </c>
      <c r="B27" s="28" t="s">
        <v>157</v>
      </c>
      <c r="C27" s="27" t="s">
        <v>66</v>
      </c>
      <c r="D27" s="29">
        <v>13</v>
      </c>
      <c r="E27" s="30">
        <v>263.25</v>
      </c>
      <c r="F27" s="20" t="s">
        <v>310</v>
      </c>
      <c r="G27" s="310" t="s">
        <v>416</v>
      </c>
      <c r="H27" s="306"/>
      <c r="I27" s="306"/>
      <c r="J27" s="306"/>
    </row>
    <row r="28" spans="1:10">
      <c r="A28" s="27" t="s">
        <v>228</v>
      </c>
      <c r="B28" s="28" t="s">
        <v>157</v>
      </c>
      <c r="C28" s="27" t="s">
        <v>66</v>
      </c>
      <c r="D28" s="29">
        <v>22.23</v>
      </c>
      <c r="E28" s="30">
        <v>506.94</v>
      </c>
      <c r="F28" s="20" t="s">
        <v>310</v>
      </c>
      <c r="G28" s="310" t="s">
        <v>416</v>
      </c>
      <c r="H28" s="306"/>
      <c r="I28" s="306"/>
      <c r="J28" s="306"/>
    </row>
    <row r="29" spans="1:10">
      <c r="A29" s="27" t="s">
        <v>410</v>
      </c>
      <c r="B29" s="28" t="s">
        <v>157</v>
      </c>
      <c r="C29" s="27" t="s">
        <v>66</v>
      </c>
      <c r="D29" s="29">
        <v>16.7</v>
      </c>
      <c r="E29" s="30">
        <v>350.7</v>
      </c>
      <c r="F29" s="20" t="s">
        <v>310</v>
      </c>
      <c r="G29" s="310" t="s">
        <v>416</v>
      </c>
      <c r="H29" s="306"/>
      <c r="I29" s="306"/>
      <c r="J29" s="306"/>
    </row>
    <row r="30" spans="1:10">
      <c r="A30" s="20" t="s">
        <v>75</v>
      </c>
      <c r="B30" s="23" t="s">
        <v>157</v>
      </c>
      <c r="C30" s="20" t="s">
        <v>66</v>
      </c>
      <c r="D30" s="21">
        <v>3.75</v>
      </c>
      <c r="E30" s="22">
        <v>84.38</v>
      </c>
    </row>
    <row r="31" spans="1:10">
      <c r="A31" s="27" t="s">
        <v>210</v>
      </c>
      <c r="B31" s="28" t="s">
        <v>157</v>
      </c>
      <c r="C31" s="27" t="s">
        <v>66</v>
      </c>
      <c r="D31" s="29">
        <v>16</v>
      </c>
      <c r="E31" s="30">
        <v>393</v>
      </c>
      <c r="F31" s="20" t="s">
        <v>310</v>
      </c>
      <c r="G31" s="310" t="s">
        <v>416</v>
      </c>
      <c r="H31" s="306"/>
      <c r="I31" s="306"/>
      <c r="J31" s="306"/>
    </row>
    <row r="32" spans="1:10">
      <c r="A32" s="27" t="s">
        <v>267</v>
      </c>
      <c r="B32" s="28" t="s">
        <v>157</v>
      </c>
      <c r="C32" s="27" t="s">
        <v>66</v>
      </c>
      <c r="D32" s="29">
        <v>8.27</v>
      </c>
      <c r="E32" s="30">
        <v>204.6</v>
      </c>
      <c r="F32" s="20" t="s">
        <v>310</v>
      </c>
      <c r="G32" s="310" t="s">
        <v>416</v>
      </c>
      <c r="H32" s="306"/>
      <c r="I32" s="306"/>
      <c r="J32" s="306"/>
    </row>
    <row r="33" spans="1:10">
      <c r="A33" s="27" t="s">
        <v>237</v>
      </c>
      <c r="B33" s="28" t="s">
        <v>157</v>
      </c>
      <c r="C33" s="27" t="s">
        <v>66</v>
      </c>
      <c r="D33" s="29">
        <v>8.08</v>
      </c>
      <c r="E33" s="30">
        <v>194</v>
      </c>
      <c r="F33" s="20" t="s">
        <v>310</v>
      </c>
      <c r="G33" s="310" t="s">
        <v>416</v>
      </c>
      <c r="H33" s="306"/>
      <c r="I33" s="306"/>
      <c r="J33" s="306"/>
    </row>
    <row r="34" spans="1:10">
      <c r="A34" s="27" t="s">
        <v>292</v>
      </c>
      <c r="B34" s="28" t="s">
        <v>157</v>
      </c>
      <c r="C34" s="27" t="s">
        <v>66</v>
      </c>
      <c r="D34" s="91">
        <v>12.47</v>
      </c>
      <c r="E34" s="30">
        <v>299.2</v>
      </c>
      <c r="F34" s="20" t="s">
        <v>310</v>
      </c>
      <c r="G34" s="310" t="s">
        <v>416</v>
      </c>
      <c r="H34" s="306"/>
      <c r="I34" s="306"/>
      <c r="J34" s="306"/>
    </row>
    <row r="35" spans="1:10">
      <c r="A35" s="27" t="s">
        <v>418</v>
      </c>
      <c r="B35" s="28" t="s">
        <v>157</v>
      </c>
      <c r="C35" s="27" t="s">
        <v>66</v>
      </c>
      <c r="D35" s="91">
        <v>10.23</v>
      </c>
      <c r="E35" s="30">
        <v>207.23</v>
      </c>
      <c r="F35" s="20" t="s">
        <v>310</v>
      </c>
      <c r="G35" s="310" t="s">
        <v>416</v>
      </c>
      <c r="H35" s="306"/>
      <c r="I35" s="306"/>
      <c r="J35" s="306"/>
    </row>
    <row r="36" spans="1:10">
      <c r="A36" s="27" t="s">
        <v>419</v>
      </c>
      <c r="B36" s="28" t="s">
        <v>157</v>
      </c>
      <c r="C36" s="27" t="s">
        <v>66</v>
      </c>
      <c r="D36" s="91">
        <v>13.52</v>
      </c>
      <c r="E36" s="30">
        <v>273.70999999999998</v>
      </c>
      <c r="F36" s="20" t="s">
        <v>310</v>
      </c>
      <c r="G36" s="310" t="s">
        <v>416</v>
      </c>
      <c r="H36" s="306"/>
      <c r="I36" s="306"/>
      <c r="J36" s="306"/>
    </row>
    <row r="37" spans="1:10">
      <c r="A37" s="27" t="s">
        <v>85</v>
      </c>
      <c r="B37" s="28" t="s">
        <v>157</v>
      </c>
      <c r="C37" s="27" t="s">
        <v>66</v>
      </c>
      <c r="D37" s="27">
        <v>26.25</v>
      </c>
      <c r="E37" s="30">
        <v>649.69000000000005</v>
      </c>
      <c r="F37" s="20" t="s">
        <v>310</v>
      </c>
      <c r="G37" s="310" t="s">
        <v>416</v>
      </c>
      <c r="H37" s="306"/>
      <c r="I37" s="306"/>
      <c r="J37" s="306"/>
    </row>
    <row r="38" spans="1:10">
      <c r="A38" s="27" t="s">
        <v>159</v>
      </c>
      <c r="B38" s="28" t="s">
        <v>157</v>
      </c>
      <c r="C38" s="27" t="s">
        <v>66</v>
      </c>
      <c r="D38" s="91">
        <v>30.35</v>
      </c>
      <c r="E38" s="30">
        <v>728.4</v>
      </c>
      <c r="F38" s="20" t="s">
        <v>310</v>
      </c>
      <c r="G38" s="310" t="s">
        <v>416</v>
      </c>
      <c r="H38" s="306"/>
      <c r="I38" s="306"/>
      <c r="J38" s="306"/>
    </row>
    <row r="39" spans="1:10">
      <c r="A39" s="27" t="s">
        <v>88</v>
      </c>
      <c r="B39" s="28" t="s">
        <v>157</v>
      </c>
      <c r="C39" s="27" t="s">
        <v>66</v>
      </c>
      <c r="D39" s="91">
        <v>16</v>
      </c>
      <c r="E39" s="30">
        <v>393</v>
      </c>
      <c r="F39" s="20" t="s">
        <v>310</v>
      </c>
      <c r="G39" s="310" t="s">
        <v>416</v>
      </c>
      <c r="H39" s="306"/>
      <c r="I39" s="306"/>
      <c r="J39" s="306"/>
    </row>
    <row r="40" spans="1:10">
      <c r="A40" s="20" t="s">
        <v>407</v>
      </c>
      <c r="B40" s="23" t="s">
        <v>157</v>
      </c>
      <c r="C40" s="20" t="s">
        <v>66</v>
      </c>
      <c r="D40" s="55">
        <v>2.68</v>
      </c>
      <c r="E40" s="22">
        <v>60.7</v>
      </c>
    </row>
    <row r="41" spans="1:10">
      <c r="A41" s="27" t="s">
        <v>328</v>
      </c>
      <c r="B41" s="28" t="s">
        <v>157</v>
      </c>
      <c r="C41" s="27" t="s">
        <v>66</v>
      </c>
      <c r="D41" s="91">
        <v>48.88</v>
      </c>
      <c r="E41" s="30">
        <v>1209.8599999999999</v>
      </c>
      <c r="F41" s="20" t="s">
        <v>310</v>
      </c>
      <c r="G41" s="310" t="s">
        <v>416</v>
      </c>
      <c r="H41" s="306"/>
      <c r="I41" s="306"/>
      <c r="J41" s="306"/>
    </row>
    <row r="42" spans="1:10">
      <c r="A42" s="27" t="s">
        <v>79</v>
      </c>
      <c r="B42" s="28" t="s">
        <v>157</v>
      </c>
      <c r="C42" s="27" t="s">
        <v>66</v>
      </c>
      <c r="D42" s="27">
        <v>7.1</v>
      </c>
      <c r="E42" s="30">
        <v>170.4</v>
      </c>
      <c r="F42" s="20" t="s">
        <v>310</v>
      </c>
      <c r="G42" s="310" t="s">
        <v>416</v>
      </c>
      <c r="H42" s="306"/>
      <c r="I42" s="306"/>
      <c r="J42" s="306"/>
    </row>
    <row r="43" spans="1:10">
      <c r="A43" s="27" t="s">
        <v>375</v>
      </c>
      <c r="B43" s="28" t="s">
        <v>157</v>
      </c>
      <c r="C43" s="27" t="s">
        <v>66</v>
      </c>
      <c r="D43" s="27">
        <v>19.73</v>
      </c>
      <c r="E43" s="30">
        <v>442.27</v>
      </c>
      <c r="F43" s="20" t="s">
        <v>310</v>
      </c>
      <c r="G43" s="310" t="s">
        <v>416</v>
      </c>
      <c r="H43" s="306"/>
      <c r="I43" s="306"/>
      <c r="J43" s="306"/>
    </row>
    <row r="44" spans="1:10">
      <c r="A44" s="19" t="s">
        <v>7</v>
      </c>
      <c r="D44" s="26">
        <f>SUM(D25:D43)</f>
        <v>296.19000000000005</v>
      </c>
      <c r="E44" s="25">
        <f>SUM(E25:E43)</f>
        <v>6892.5999999999985</v>
      </c>
    </row>
    <row r="45" spans="1:10">
      <c r="A45" s="19"/>
      <c r="D45" s="26"/>
      <c r="E45" s="25"/>
    </row>
    <row r="46" spans="1:10">
      <c r="A46" s="27" t="s">
        <v>163</v>
      </c>
      <c r="B46" s="28" t="s">
        <v>162</v>
      </c>
      <c r="C46" s="27" t="s">
        <v>51</v>
      </c>
      <c r="D46" s="29">
        <v>31.87</v>
      </c>
      <c r="E46" s="30">
        <v>908.2</v>
      </c>
      <c r="F46" s="20" t="s">
        <v>310</v>
      </c>
      <c r="G46" s="310" t="s">
        <v>416</v>
      </c>
      <c r="H46" s="306"/>
      <c r="I46" s="306"/>
      <c r="J46" s="306"/>
    </row>
    <row r="47" spans="1:10">
      <c r="A47" s="27" t="s">
        <v>50</v>
      </c>
      <c r="B47" s="28" t="s">
        <v>162</v>
      </c>
      <c r="C47" s="27" t="s">
        <v>51</v>
      </c>
      <c r="D47" s="29">
        <v>5.08</v>
      </c>
      <c r="E47" s="30">
        <v>99.13</v>
      </c>
      <c r="F47" s="20" t="s">
        <v>310</v>
      </c>
      <c r="G47" s="310" t="s">
        <v>416</v>
      </c>
      <c r="H47" s="306"/>
      <c r="I47" s="306"/>
      <c r="J47" s="306"/>
    </row>
    <row r="48" spans="1:10">
      <c r="A48" s="19" t="s">
        <v>7</v>
      </c>
      <c r="B48" s="23"/>
      <c r="D48" s="26">
        <f>SUM(D46:D47)</f>
        <v>36.950000000000003</v>
      </c>
      <c r="E48" s="25">
        <f>SUM(E46:E47)</f>
        <v>1007.33</v>
      </c>
    </row>
    <row r="49" spans="1:10">
      <c r="A49" s="19"/>
      <c r="D49" s="26"/>
      <c r="E49" s="25"/>
    </row>
    <row r="50" spans="1:10">
      <c r="A50" s="27" t="s">
        <v>203</v>
      </c>
      <c r="B50" s="28" t="s">
        <v>164</v>
      </c>
      <c r="C50" s="27" t="s">
        <v>60</v>
      </c>
      <c r="D50" s="29">
        <v>10.1</v>
      </c>
      <c r="E50" s="30">
        <v>212.1</v>
      </c>
      <c r="F50" s="20" t="s">
        <v>310</v>
      </c>
      <c r="G50" s="310" t="s">
        <v>416</v>
      </c>
      <c r="H50" s="306"/>
      <c r="I50" s="306"/>
      <c r="J50" s="306"/>
    </row>
    <row r="51" spans="1:10">
      <c r="A51" s="27" t="s">
        <v>411</v>
      </c>
      <c r="B51" s="28" t="s">
        <v>164</v>
      </c>
      <c r="C51" s="27" t="s">
        <v>60</v>
      </c>
      <c r="D51" s="29">
        <v>12.65</v>
      </c>
      <c r="E51" s="30">
        <v>341.55</v>
      </c>
      <c r="F51" s="20" t="s">
        <v>310</v>
      </c>
      <c r="G51" s="310" t="s">
        <v>416</v>
      </c>
      <c r="H51" s="306"/>
      <c r="I51" s="306"/>
      <c r="J51" s="306"/>
    </row>
    <row r="52" spans="1:10">
      <c r="A52" s="27" t="s">
        <v>420</v>
      </c>
      <c r="B52" s="28" t="s">
        <v>164</v>
      </c>
      <c r="C52" s="27" t="s">
        <v>60</v>
      </c>
      <c r="D52" s="29">
        <v>7.5</v>
      </c>
      <c r="E52" s="30">
        <v>157.5</v>
      </c>
      <c r="F52" s="20" t="s">
        <v>310</v>
      </c>
      <c r="G52" s="310" t="s">
        <v>416</v>
      </c>
      <c r="H52" s="306"/>
      <c r="I52" s="306"/>
      <c r="J52" s="306"/>
    </row>
    <row r="53" spans="1:10">
      <c r="A53" s="27" t="s">
        <v>64</v>
      </c>
      <c r="B53" s="28" t="s">
        <v>164</v>
      </c>
      <c r="C53" s="27" t="s">
        <v>60</v>
      </c>
      <c r="D53" s="29">
        <f>11.85+1.78</f>
        <v>13.629999999999999</v>
      </c>
      <c r="E53" s="30">
        <f>248.85+37.45</f>
        <v>286.3</v>
      </c>
      <c r="F53" s="20" t="s">
        <v>310</v>
      </c>
      <c r="G53" s="310" t="s">
        <v>416</v>
      </c>
      <c r="H53" s="306"/>
      <c r="I53" s="306"/>
      <c r="J53" s="306"/>
    </row>
    <row r="54" spans="1:10">
      <c r="A54" s="19" t="s">
        <v>7</v>
      </c>
      <c r="D54" s="26">
        <f>SUM(D50:D53)</f>
        <v>43.879999999999995</v>
      </c>
      <c r="E54" s="25">
        <f>SUM(E50:E53)</f>
        <v>997.45</v>
      </c>
    </row>
    <row r="55" spans="1:10">
      <c r="A55" s="19"/>
      <c r="D55" s="26"/>
      <c r="E55" s="25"/>
    </row>
    <row r="56" spans="1:10">
      <c r="A56" s="27" t="s">
        <v>372</v>
      </c>
      <c r="B56" s="28" t="s">
        <v>165</v>
      </c>
      <c r="C56" s="27" t="s">
        <v>45</v>
      </c>
      <c r="D56" s="29">
        <v>7.1</v>
      </c>
      <c r="E56" s="30">
        <v>159.75</v>
      </c>
      <c r="F56" s="20" t="s">
        <v>310</v>
      </c>
      <c r="G56" s="310" t="s">
        <v>416</v>
      </c>
      <c r="H56" s="306"/>
      <c r="I56" s="306"/>
      <c r="J56" s="306"/>
    </row>
    <row r="57" spans="1:10">
      <c r="A57" s="27" t="s">
        <v>412</v>
      </c>
      <c r="B57" s="28" t="s">
        <v>165</v>
      </c>
      <c r="C57" s="27" t="s">
        <v>45</v>
      </c>
      <c r="D57" s="29">
        <v>9.1</v>
      </c>
      <c r="E57" s="30">
        <v>204.75</v>
      </c>
      <c r="F57" s="20" t="s">
        <v>310</v>
      </c>
      <c r="G57" s="310" t="s">
        <v>416</v>
      </c>
      <c r="H57" s="306"/>
      <c r="I57" s="306"/>
      <c r="J57" s="306"/>
    </row>
    <row r="58" spans="1:10">
      <c r="A58" s="19" t="s">
        <v>7</v>
      </c>
      <c r="D58" s="26">
        <f>SUM(D56:D57)</f>
        <v>16.2</v>
      </c>
      <c r="E58" s="25">
        <f>SUM(E56:E57)</f>
        <v>364.5</v>
      </c>
    </row>
    <row r="59" spans="1:10">
      <c r="A59" s="19"/>
      <c r="D59" s="26"/>
      <c r="E59" s="25"/>
    </row>
    <row r="60" spans="1:10">
      <c r="A60" s="27" t="s">
        <v>166</v>
      </c>
      <c r="B60" s="28" t="s">
        <v>167</v>
      </c>
      <c r="C60" s="27" t="s">
        <v>54</v>
      </c>
      <c r="D60" s="29">
        <v>5.18</v>
      </c>
      <c r="E60" s="30">
        <v>124.4</v>
      </c>
      <c r="F60" s="20" t="s">
        <v>310</v>
      </c>
      <c r="G60" s="310" t="s">
        <v>416</v>
      </c>
      <c r="H60" s="306"/>
      <c r="I60" s="306"/>
      <c r="J60" s="306"/>
    </row>
    <row r="61" spans="1:10">
      <c r="A61" s="27" t="s">
        <v>345</v>
      </c>
      <c r="B61" s="28" t="s">
        <v>167</v>
      </c>
      <c r="C61" s="27" t="s">
        <v>54</v>
      </c>
      <c r="D61" s="29">
        <v>7.22</v>
      </c>
      <c r="E61" s="30">
        <v>173.2</v>
      </c>
      <c r="F61" s="20" t="s">
        <v>310</v>
      </c>
      <c r="G61" s="310" t="s">
        <v>416</v>
      </c>
      <c r="H61" s="306"/>
      <c r="I61" s="306"/>
      <c r="J61" s="306"/>
    </row>
    <row r="62" spans="1:10">
      <c r="A62" s="20" t="s">
        <v>421</v>
      </c>
      <c r="B62" s="23" t="s">
        <v>167</v>
      </c>
      <c r="C62" s="20" t="s">
        <v>54</v>
      </c>
      <c r="D62" s="21">
        <v>0.18</v>
      </c>
      <c r="E62" s="22">
        <v>4.95</v>
      </c>
    </row>
    <row r="63" spans="1:10">
      <c r="A63" s="27" t="s">
        <v>422</v>
      </c>
      <c r="B63" s="28" t="s">
        <v>167</v>
      </c>
      <c r="C63" s="27" t="s">
        <v>54</v>
      </c>
      <c r="D63" s="29">
        <v>45.85</v>
      </c>
      <c r="E63" s="30">
        <v>1306.73</v>
      </c>
      <c r="F63" s="20" t="s">
        <v>310</v>
      </c>
      <c r="G63" s="310" t="s">
        <v>416</v>
      </c>
      <c r="H63" s="306"/>
      <c r="I63" s="306"/>
      <c r="J63" s="306"/>
    </row>
    <row r="64" spans="1:10">
      <c r="A64" s="19" t="s">
        <v>7</v>
      </c>
      <c r="B64" s="23"/>
      <c r="D64" s="26">
        <f>SUM(D60:D63)</f>
        <v>58.43</v>
      </c>
      <c r="E64" s="25">
        <f>SUM(E60:E63)</f>
        <v>1609.28</v>
      </c>
    </row>
    <row r="65" spans="1:5">
      <c r="A65" s="19"/>
      <c r="B65" s="23"/>
      <c r="D65" s="26"/>
      <c r="E65" s="25"/>
    </row>
    <row r="66" spans="1:5">
      <c r="A66" s="20" t="s">
        <v>423</v>
      </c>
      <c r="B66" s="23" t="s">
        <v>240</v>
      </c>
      <c r="C66" s="20" t="s">
        <v>241</v>
      </c>
      <c r="D66" s="21">
        <v>0.02</v>
      </c>
      <c r="E66" s="22">
        <v>0.54</v>
      </c>
    </row>
    <row r="67" spans="1:5">
      <c r="A67" s="19" t="s">
        <v>7</v>
      </c>
      <c r="B67" s="23"/>
      <c r="D67" s="26">
        <f>SUM(D66)</f>
        <v>0.02</v>
      </c>
      <c r="E67" s="25">
        <f>SUM(E66)</f>
        <v>0.54</v>
      </c>
    </row>
    <row r="68" spans="1:5">
      <c r="A68" s="19"/>
      <c r="B68" s="23"/>
      <c r="D68" s="26"/>
      <c r="E68" s="25"/>
    </row>
    <row r="69" spans="1:5">
      <c r="A69" s="20" t="s">
        <v>367</v>
      </c>
      <c r="B69" s="23" t="s">
        <v>171</v>
      </c>
      <c r="C69" s="20" t="s">
        <v>25</v>
      </c>
      <c r="D69" s="21">
        <v>0.97</v>
      </c>
      <c r="E69" s="22">
        <v>26.83</v>
      </c>
    </row>
    <row r="70" spans="1:5">
      <c r="A70" s="20" t="s">
        <v>424</v>
      </c>
      <c r="B70" s="23" t="s">
        <v>171</v>
      </c>
      <c r="C70" s="20" t="s">
        <v>25</v>
      </c>
      <c r="D70" s="21">
        <v>0.38</v>
      </c>
      <c r="E70" s="22">
        <v>12.72</v>
      </c>
    </row>
    <row r="71" spans="1:5">
      <c r="A71" s="20" t="s">
        <v>286</v>
      </c>
      <c r="B71" s="20" t="s">
        <v>171</v>
      </c>
      <c r="C71" s="20" t="s">
        <v>25</v>
      </c>
      <c r="D71" s="21">
        <v>1.83</v>
      </c>
      <c r="E71" s="22">
        <v>55</v>
      </c>
    </row>
    <row r="72" spans="1:5">
      <c r="A72" s="20" t="s">
        <v>425</v>
      </c>
      <c r="B72" s="23" t="s">
        <v>171</v>
      </c>
      <c r="C72" s="20" t="s">
        <v>25</v>
      </c>
      <c r="D72" s="21">
        <v>0.02</v>
      </c>
      <c r="E72" s="22">
        <v>0.49</v>
      </c>
    </row>
    <row r="73" spans="1:5">
      <c r="A73" s="20" t="s">
        <v>368</v>
      </c>
      <c r="B73" s="23" t="s">
        <v>171</v>
      </c>
      <c r="C73" s="20" t="s">
        <v>25</v>
      </c>
      <c r="D73" s="21">
        <v>2.42</v>
      </c>
      <c r="E73" s="22">
        <v>74.31</v>
      </c>
    </row>
    <row r="74" spans="1:5">
      <c r="A74" s="19" t="s">
        <v>7</v>
      </c>
      <c r="D74" s="26">
        <f>SUM(D69:D73)</f>
        <v>5.62</v>
      </c>
      <c r="E74" s="25">
        <f>SUM(E69:E73)</f>
        <v>169.35</v>
      </c>
    </row>
    <row r="75" spans="1:5">
      <c r="A75" s="19"/>
      <c r="D75" s="26"/>
      <c r="E75" s="25"/>
    </row>
    <row r="76" spans="1:5">
      <c r="A76" s="20" t="s">
        <v>394</v>
      </c>
      <c r="B76" s="23" t="s">
        <v>172</v>
      </c>
      <c r="C76" s="20" t="s">
        <v>348</v>
      </c>
      <c r="D76" s="21">
        <v>0.87</v>
      </c>
      <c r="E76" s="22">
        <v>30.32</v>
      </c>
    </row>
    <row r="77" spans="1:5">
      <c r="A77" s="20" t="s">
        <v>413</v>
      </c>
      <c r="B77" s="23" t="s">
        <v>172</v>
      </c>
      <c r="C77" s="20" t="s">
        <v>348</v>
      </c>
      <c r="D77" s="21">
        <v>1.03</v>
      </c>
      <c r="E77" s="22">
        <v>35.4</v>
      </c>
    </row>
    <row r="78" spans="1:5">
      <c r="A78" s="19" t="s">
        <v>7</v>
      </c>
      <c r="D78" s="26">
        <f>SUM(D76:D77)</f>
        <v>1.9</v>
      </c>
      <c r="E78" s="25">
        <f>SUM(E76:E77)</f>
        <v>65.72</v>
      </c>
    </row>
    <row r="79" spans="1:5">
      <c r="D79" s="21"/>
      <c r="E79" s="22"/>
    </row>
    <row r="80" spans="1:5">
      <c r="A80" s="20" t="s">
        <v>307</v>
      </c>
      <c r="B80" s="20">
        <v>100035</v>
      </c>
      <c r="C80" s="20" t="s">
        <v>332</v>
      </c>
      <c r="D80" s="21">
        <v>1.4</v>
      </c>
      <c r="E80" s="22">
        <v>52.65</v>
      </c>
    </row>
    <row r="81" spans="1:10">
      <c r="A81" s="20" t="s">
        <v>331</v>
      </c>
      <c r="B81" s="20">
        <v>100035</v>
      </c>
      <c r="C81" s="20" t="s">
        <v>332</v>
      </c>
      <c r="D81" s="21">
        <v>1.73</v>
      </c>
      <c r="E81" s="22">
        <v>54.29</v>
      </c>
    </row>
    <row r="82" spans="1:10">
      <c r="A82" s="19" t="s">
        <v>7</v>
      </c>
      <c r="D82" s="26">
        <f>SUM(D80:D81)</f>
        <v>3.13</v>
      </c>
      <c r="E82" s="25">
        <f>SUM(E80:E81)</f>
        <v>106.94</v>
      </c>
    </row>
    <row r="83" spans="1:10">
      <c r="A83" s="19"/>
      <c r="D83" s="21"/>
      <c r="E83" s="22"/>
    </row>
    <row r="84" spans="1:10">
      <c r="A84" s="27" t="s">
        <v>395</v>
      </c>
      <c r="B84" s="27">
        <v>100051</v>
      </c>
      <c r="C84" s="27" t="s">
        <v>34</v>
      </c>
      <c r="D84" s="29">
        <v>12</v>
      </c>
      <c r="E84" s="30">
        <v>243</v>
      </c>
      <c r="F84" s="20" t="s">
        <v>310</v>
      </c>
      <c r="G84" s="310" t="s">
        <v>416</v>
      </c>
      <c r="H84" s="306"/>
      <c r="I84" s="306"/>
      <c r="J84" s="306"/>
    </row>
    <row r="85" spans="1:10">
      <c r="A85" s="27" t="s">
        <v>211</v>
      </c>
      <c r="B85" s="27">
        <v>100051</v>
      </c>
      <c r="C85" s="27" t="s">
        <v>34</v>
      </c>
      <c r="D85" s="29">
        <v>14</v>
      </c>
      <c r="E85" s="30">
        <v>283.5</v>
      </c>
      <c r="F85" s="20" t="s">
        <v>310</v>
      </c>
      <c r="G85" s="310" t="s">
        <v>416</v>
      </c>
      <c r="H85" s="306"/>
      <c r="I85" s="306"/>
      <c r="J85" s="306"/>
    </row>
    <row r="86" spans="1:10">
      <c r="A86" s="27" t="s">
        <v>380</v>
      </c>
      <c r="B86" s="27">
        <v>100051</v>
      </c>
      <c r="C86" s="27" t="s">
        <v>34</v>
      </c>
      <c r="D86" s="29">
        <v>11</v>
      </c>
      <c r="E86" s="30">
        <v>222.75</v>
      </c>
      <c r="F86" s="20" t="s">
        <v>310</v>
      </c>
      <c r="G86" s="310" t="s">
        <v>416</v>
      </c>
      <c r="H86" s="306"/>
      <c r="I86" s="306"/>
      <c r="J86" s="306"/>
    </row>
    <row r="87" spans="1:10">
      <c r="A87" s="27" t="s">
        <v>37</v>
      </c>
      <c r="B87" s="27">
        <v>100051</v>
      </c>
      <c r="C87" s="27" t="s">
        <v>34</v>
      </c>
      <c r="D87" s="29">
        <v>13</v>
      </c>
      <c r="E87" s="30">
        <v>321.75</v>
      </c>
      <c r="F87" s="20" t="s">
        <v>310</v>
      </c>
      <c r="G87" s="310" t="s">
        <v>416</v>
      </c>
      <c r="H87" s="306"/>
      <c r="I87" s="306"/>
      <c r="J87" s="306"/>
    </row>
    <row r="88" spans="1:10">
      <c r="A88" s="27" t="s">
        <v>213</v>
      </c>
      <c r="B88" s="27">
        <v>100051</v>
      </c>
      <c r="C88" s="27" t="s">
        <v>34</v>
      </c>
      <c r="D88" s="29">
        <v>18.829999999999998</v>
      </c>
      <c r="E88" s="30">
        <v>409.63</v>
      </c>
      <c r="F88" s="20" t="s">
        <v>310</v>
      </c>
      <c r="G88" s="310" t="s">
        <v>416</v>
      </c>
      <c r="H88" s="306"/>
      <c r="I88" s="306"/>
      <c r="J88" s="306"/>
    </row>
    <row r="89" spans="1:10">
      <c r="A89" s="19" t="s">
        <v>7</v>
      </c>
      <c r="D89" s="26">
        <f>SUM(D84:D88)</f>
        <v>68.83</v>
      </c>
      <c r="E89" s="25">
        <f>SUM(E84:E88)</f>
        <v>1480.63</v>
      </c>
    </row>
    <row r="90" spans="1:10">
      <c r="A90" s="19"/>
      <c r="D90" s="26"/>
      <c r="E90" s="25"/>
    </row>
    <row r="91" spans="1:10">
      <c r="A91" s="20" t="s">
        <v>426</v>
      </c>
      <c r="B91" s="20">
        <v>290020</v>
      </c>
      <c r="C91" s="20" t="s">
        <v>146</v>
      </c>
      <c r="D91" s="21">
        <v>0.53</v>
      </c>
      <c r="E91" s="22">
        <v>17.3</v>
      </c>
    </row>
    <row r="92" spans="1:10">
      <c r="A92" s="19" t="s">
        <v>7</v>
      </c>
      <c r="D92" s="26">
        <f>SUM(D91)</f>
        <v>0.53</v>
      </c>
      <c r="E92" s="25">
        <f>SUM(E91)</f>
        <v>17.3</v>
      </c>
    </row>
    <row r="93" spans="1:10">
      <c r="A93" s="19"/>
      <c r="D93" s="26"/>
      <c r="E93" s="25"/>
    </row>
    <row r="94" spans="1:10">
      <c r="A94" s="20" t="s">
        <v>369</v>
      </c>
      <c r="B94" s="20">
        <v>450044</v>
      </c>
      <c r="C94" s="20" t="s">
        <v>134</v>
      </c>
      <c r="D94" s="21">
        <v>1.27</v>
      </c>
      <c r="E94" s="22">
        <v>27.46</v>
      </c>
    </row>
    <row r="95" spans="1:10">
      <c r="A95" s="19" t="s">
        <v>7</v>
      </c>
      <c r="D95" s="26">
        <f>SUM(D94)</f>
        <v>1.27</v>
      </c>
      <c r="E95" s="25">
        <f>SUM(E94)</f>
        <v>27.46</v>
      </c>
    </row>
    <row r="96" spans="1:10">
      <c r="A96" s="19"/>
      <c r="D96" s="26"/>
      <c r="E96" s="25"/>
    </row>
    <row r="97" spans="1:6">
      <c r="A97" s="20" t="s">
        <v>346</v>
      </c>
      <c r="B97" s="23">
        <v>450046</v>
      </c>
      <c r="C97" s="20" t="s">
        <v>128</v>
      </c>
      <c r="D97" s="21">
        <v>0.73</v>
      </c>
      <c r="E97" s="22">
        <v>22</v>
      </c>
    </row>
    <row r="98" spans="1:6">
      <c r="A98" s="19" t="s">
        <v>7</v>
      </c>
      <c r="D98" s="26">
        <f>SUM(D97)</f>
        <v>0.73</v>
      </c>
      <c r="E98" s="25">
        <f>SUM(E97)</f>
        <v>22</v>
      </c>
    </row>
    <row r="99" spans="1:6">
      <c r="A99" s="19"/>
      <c r="D99" s="26"/>
      <c r="E99" s="25"/>
    </row>
    <row r="100" spans="1:6">
      <c r="A100" s="20" t="s">
        <v>282</v>
      </c>
      <c r="B100" s="20">
        <v>450048</v>
      </c>
      <c r="C100" s="20" t="s">
        <v>388</v>
      </c>
      <c r="D100" s="21">
        <v>0.03</v>
      </c>
      <c r="E100" s="22">
        <v>0.83</v>
      </c>
    </row>
    <row r="101" spans="1:6">
      <c r="A101" s="19" t="s">
        <v>7</v>
      </c>
      <c r="D101" s="26">
        <f>SUM(D100)</f>
        <v>0.03</v>
      </c>
      <c r="E101" s="25">
        <f>SUM(E100)</f>
        <v>0.83</v>
      </c>
    </row>
    <row r="102" spans="1:6">
      <c r="A102" s="19"/>
      <c r="D102" s="26"/>
      <c r="E102" s="25"/>
    </row>
    <row r="103" spans="1:6">
      <c r="A103" s="20" t="s">
        <v>427</v>
      </c>
      <c r="B103" s="20">
        <v>450051</v>
      </c>
      <c r="C103" s="20" t="s">
        <v>104</v>
      </c>
      <c r="D103" s="21">
        <v>0.1</v>
      </c>
      <c r="E103" s="22">
        <v>1.95</v>
      </c>
    </row>
    <row r="104" spans="1:6">
      <c r="A104" s="32" t="s">
        <v>428</v>
      </c>
      <c r="B104" s="32">
        <v>450051</v>
      </c>
      <c r="C104" s="32" t="s">
        <v>104</v>
      </c>
      <c r="D104" s="33">
        <v>7.12</v>
      </c>
      <c r="E104" s="34">
        <v>106.75</v>
      </c>
      <c r="F104" s="20" t="s">
        <v>310</v>
      </c>
    </row>
    <row r="105" spans="1:6">
      <c r="A105" s="20" t="s">
        <v>404</v>
      </c>
      <c r="B105" s="20">
        <v>450051</v>
      </c>
      <c r="C105" s="20" t="s">
        <v>104</v>
      </c>
      <c r="D105" s="21">
        <v>0.18</v>
      </c>
      <c r="E105" s="22">
        <v>2.75</v>
      </c>
    </row>
    <row r="106" spans="1:6">
      <c r="A106" s="19" t="s">
        <v>7</v>
      </c>
      <c r="D106" s="26">
        <f>SUM(D103:D105)</f>
        <v>7.3999999999999995</v>
      </c>
      <c r="E106" s="25">
        <f>SUM(E103:E105)</f>
        <v>111.45</v>
      </c>
    </row>
    <row r="107" spans="1:6">
      <c r="A107" s="19"/>
      <c r="D107" s="26"/>
      <c r="E107" s="25"/>
    </row>
    <row r="108" spans="1:6">
      <c r="A108" s="32" t="s">
        <v>117</v>
      </c>
      <c r="B108" s="32">
        <v>450052</v>
      </c>
      <c r="C108" s="32" t="s">
        <v>126</v>
      </c>
      <c r="D108" s="33">
        <v>5.47</v>
      </c>
      <c r="E108" s="34">
        <v>89.46</v>
      </c>
      <c r="F108" s="20" t="s">
        <v>310</v>
      </c>
    </row>
    <row r="109" spans="1:6">
      <c r="A109" s="19" t="s">
        <v>7</v>
      </c>
      <c r="B109" s="19"/>
      <c r="C109" s="19"/>
      <c r="D109" s="26">
        <f>SUM(D108)</f>
        <v>5.47</v>
      </c>
      <c r="E109" s="25">
        <f>SUM(E108)</f>
        <v>89.46</v>
      </c>
    </row>
    <row r="110" spans="1:6">
      <c r="A110" s="19"/>
      <c r="D110" s="26"/>
      <c r="E110" s="25"/>
    </row>
    <row r="111" spans="1:6">
      <c r="A111" s="20" t="s">
        <v>244</v>
      </c>
      <c r="B111" s="20">
        <v>400020</v>
      </c>
      <c r="C111" s="20" t="s">
        <v>98</v>
      </c>
      <c r="D111" s="21">
        <v>0.95</v>
      </c>
      <c r="E111" s="22">
        <v>23.03</v>
      </c>
    </row>
    <row r="112" spans="1:6">
      <c r="A112" s="19" t="s">
        <v>7</v>
      </c>
      <c r="D112" s="26">
        <f>SUM(D111)</f>
        <v>0.95</v>
      </c>
      <c r="E112" s="25">
        <f>SUM(E111)</f>
        <v>23.03</v>
      </c>
    </row>
    <row r="113" spans="1:5">
      <c r="A113" s="19"/>
      <c r="D113" s="26"/>
      <c r="E113" s="25"/>
    </row>
    <row r="114" spans="1:5">
      <c r="A114" s="20" t="s">
        <v>39</v>
      </c>
      <c r="B114" s="20">
        <v>550051</v>
      </c>
      <c r="C114" s="20" t="s">
        <v>104</v>
      </c>
      <c r="D114" s="21">
        <f>0.33+2.23</f>
        <v>2.56</v>
      </c>
      <c r="E114" s="22">
        <f>7.75+51.93</f>
        <v>59.68</v>
      </c>
    </row>
    <row r="115" spans="1:5">
      <c r="A115" s="19" t="s">
        <v>7</v>
      </c>
      <c r="D115" s="26">
        <f>SUM(D114)</f>
        <v>2.56</v>
      </c>
      <c r="E115" s="25">
        <f>SUM(E114)</f>
        <v>59.68</v>
      </c>
    </row>
    <row r="116" spans="1:5">
      <c r="A116" s="19"/>
      <c r="D116" s="26"/>
      <c r="E116" s="25"/>
    </row>
    <row r="117" spans="1:5">
      <c r="A117" s="20" t="s">
        <v>41</v>
      </c>
      <c r="B117" s="20">
        <v>550052</v>
      </c>
      <c r="C117" s="20" t="s">
        <v>126</v>
      </c>
      <c r="D117" s="21">
        <f>1.48+2.7</f>
        <v>4.18</v>
      </c>
      <c r="E117" s="22">
        <f>36.71+66.83</f>
        <v>103.53999999999999</v>
      </c>
    </row>
    <row r="118" spans="1:5">
      <c r="A118" s="19" t="s">
        <v>7</v>
      </c>
      <c r="D118" s="26">
        <f>SUM(D117)</f>
        <v>4.18</v>
      </c>
      <c r="E118" s="25">
        <f>SUM(E117)</f>
        <v>103.53999999999999</v>
      </c>
    </row>
    <row r="119" spans="1:5">
      <c r="A119" s="19"/>
      <c r="D119" s="26"/>
      <c r="E119" s="25"/>
    </row>
    <row r="120" spans="1:5">
      <c r="A120" s="19" t="s">
        <v>194</v>
      </c>
      <c r="D120" s="26">
        <f>D118+D115+D112+D109+D106+D101+D98+D95+D92+D89+D82+D78+D74+D67+D64+D58+D54+D48+D44+D23+D18+D15+D11+D8</f>
        <v>607.62</v>
      </c>
      <c r="E120" s="26">
        <f>E118+E115+E112+E109+E106+E101+E98+E95+E92+E89+E82+E78+E74+E67+E64+E58+E54+E48+E44+E23+E18+E15+E11+E8</f>
        <v>14697.419999999998</v>
      </c>
    </row>
    <row r="121" spans="1:5">
      <c r="D121" s="21"/>
      <c r="E121" s="22"/>
    </row>
    <row r="122" spans="1:5">
      <c r="A122" s="19"/>
      <c r="D122" s="26"/>
      <c r="E122" s="25"/>
    </row>
    <row r="123" spans="1:5">
      <c r="D123" s="21"/>
      <c r="E123" s="22"/>
    </row>
    <row r="124" spans="1:5">
      <c r="D124" s="21"/>
      <c r="E124" s="22"/>
    </row>
    <row r="125" spans="1:5">
      <c r="A125" s="19"/>
      <c r="D125" s="26"/>
      <c r="E125" s="25"/>
    </row>
    <row r="126" spans="1:5">
      <c r="A126" s="19"/>
      <c r="D126" s="26"/>
      <c r="E126" s="25"/>
    </row>
    <row r="127" spans="1:5">
      <c r="D127" s="21"/>
      <c r="E127" s="22"/>
    </row>
    <row r="128" spans="1:5">
      <c r="A128" s="19"/>
      <c r="D128" s="26"/>
      <c r="E128" s="25"/>
    </row>
    <row r="129" spans="1:5">
      <c r="A129" s="19"/>
      <c r="D129" s="26"/>
      <c r="E129" s="25"/>
    </row>
    <row r="130" spans="1:5">
      <c r="D130" s="21"/>
      <c r="E130" s="22"/>
    </row>
    <row r="131" spans="1:5">
      <c r="A131" s="19"/>
      <c r="D131" s="26"/>
      <c r="E131" s="25"/>
    </row>
    <row r="132" spans="1:5">
      <c r="A132" s="19"/>
      <c r="D132" s="26"/>
      <c r="E132" s="25"/>
    </row>
    <row r="133" spans="1:5">
      <c r="D133" s="21"/>
      <c r="E133" s="22"/>
    </row>
    <row r="134" spans="1:5">
      <c r="D134" s="21"/>
      <c r="E134" s="22"/>
    </row>
    <row r="135" spans="1:5">
      <c r="A135" s="19"/>
      <c r="D135" s="26"/>
      <c r="E135" s="25"/>
    </row>
    <row r="136" spans="1:5">
      <c r="A136" s="19"/>
      <c r="D136" s="21"/>
      <c r="E136" s="22"/>
    </row>
    <row r="137" spans="1:5">
      <c r="A137" s="19"/>
      <c r="D137" s="26"/>
      <c r="E137" s="26"/>
    </row>
    <row r="138" spans="1:5">
      <c r="D138" s="26"/>
      <c r="E138" s="25"/>
    </row>
  </sheetData>
  <mergeCells count="35">
    <mergeCell ref="G4:J4"/>
    <mergeCell ref="G20:J20"/>
    <mergeCell ref="G25:J25"/>
    <mergeCell ref="G26:J26"/>
    <mergeCell ref="G27:J27"/>
    <mergeCell ref="G28:J28"/>
    <mergeCell ref="G29:J29"/>
    <mergeCell ref="G31:J31"/>
    <mergeCell ref="G32:J32"/>
    <mergeCell ref="G33:J33"/>
    <mergeCell ref="G34:J34"/>
    <mergeCell ref="G35:J35"/>
    <mergeCell ref="G36:J36"/>
    <mergeCell ref="G37:J37"/>
    <mergeCell ref="G38:J38"/>
    <mergeCell ref="G39:J39"/>
    <mergeCell ref="G41:J41"/>
    <mergeCell ref="G42:J42"/>
    <mergeCell ref="G63:J63"/>
    <mergeCell ref="G43:J43"/>
    <mergeCell ref="G46:J46"/>
    <mergeCell ref="G47:J47"/>
    <mergeCell ref="G50:J50"/>
    <mergeCell ref="G51:J51"/>
    <mergeCell ref="G52:J52"/>
    <mergeCell ref="G53:J53"/>
    <mergeCell ref="G56:J56"/>
    <mergeCell ref="G57:J57"/>
    <mergeCell ref="G60:J60"/>
    <mergeCell ref="G61:J61"/>
    <mergeCell ref="G84:J84"/>
    <mergeCell ref="G85:J85"/>
    <mergeCell ref="G86:J86"/>
    <mergeCell ref="G87:J87"/>
    <mergeCell ref="G88:J88"/>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117"/>
  <sheetViews>
    <sheetView topLeftCell="A61" workbookViewId="0">
      <selection activeCell="F97" sqref="F97:I97"/>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13.85546875" style="18" bestFit="1" customWidth="1"/>
    <col min="7" max="7" width="15.85546875" style="18" customWidth="1"/>
    <col min="8" max="8" width="17.28515625" style="18" bestFit="1" customWidth="1"/>
    <col min="9" max="9" width="13.5703125" style="18" customWidth="1"/>
    <col min="10" max="10" width="16" style="18" customWidth="1"/>
    <col min="11" max="16384" width="9.140625" style="18"/>
  </cols>
  <sheetData>
    <row r="1" spans="1:10">
      <c r="A1" s="19" t="s">
        <v>147</v>
      </c>
      <c r="B1" s="19" t="s">
        <v>148</v>
      </c>
      <c r="C1" s="19" t="s">
        <v>149</v>
      </c>
      <c r="D1" s="19" t="s">
        <v>150</v>
      </c>
      <c r="E1" s="19" t="s">
        <v>151</v>
      </c>
      <c r="F1" s="11" t="s">
        <v>258</v>
      </c>
      <c r="G1" s="38" t="s">
        <v>259</v>
      </c>
      <c r="H1" s="88" t="s">
        <v>334</v>
      </c>
      <c r="I1" s="40" t="s">
        <v>260</v>
      </c>
      <c r="J1" s="39" t="s">
        <v>261</v>
      </c>
    </row>
    <row r="2" spans="1:10">
      <c r="A2" s="20" t="s">
        <v>366</v>
      </c>
      <c r="B2" s="23" t="s">
        <v>152</v>
      </c>
      <c r="C2" s="20" t="s">
        <v>15</v>
      </c>
      <c r="D2" s="21">
        <v>0.85</v>
      </c>
      <c r="E2" s="22">
        <v>22.11</v>
      </c>
      <c r="F2" s="20"/>
      <c r="G2" s="13">
        <f>E20+E22+E23+E26+E27+E28++E30+E29+E31+E32+E34+E35+E36+E37+E38+E39+E41+E42+E43+E44+E45+E46+E50+E51+E54+E55+E57+E63+E80+E81+E82+E83+E84</f>
        <v>10067.07</v>
      </c>
      <c r="H2" s="89">
        <f>E4</f>
        <v>295.10000000000002</v>
      </c>
      <c r="I2" s="66">
        <f>E13+E77</f>
        <v>533.42999999999995</v>
      </c>
      <c r="J2" s="16">
        <f>E97+E100</f>
        <v>626.93000000000006</v>
      </c>
    </row>
    <row r="3" spans="1:10">
      <c r="A3" s="20" t="s">
        <v>389</v>
      </c>
      <c r="B3" s="23" t="s">
        <v>152</v>
      </c>
      <c r="C3" s="20" t="s">
        <v>15</v>
      </c>
      <c r="D3" s="21">
        <v>0.05</v>
      </c>
      <c r="E3" s="22">
        <v>1.44</v>
      </c>
    </row>
    <row r="4" spans="1:10">
      <c r="A4" s="80" t="s">
        <v>18</v>
      </c>
      <c r="B4" s="80" t="s">
        <v>152</v>
      </c>
      <c r="C4" s="80" t="s">
        <v>15</v>
      </c>
      <c r="D4" s="82">
        <v>10.6</v>
      </c>
      <c r="E4" s="83">
        <v>295.10000000000002</v>
      </c>
      <c r="F4" s="20" t="s">
        <v>310</v>
      </c>
      <c r="G4" s="305" t="s">
        <v>263</v>
      </c>
      <c r="H4" s="306"/>
      <c r="I4" s="306"/>
      <c r="J4" s="306"/>
    </row>
    <row r="5" spans="1:10">
      <c r="A5" s="20" t="s">
        <v>377</v>
      </c>
      <c r="B5" s="23" t="s">
        <v>152</v>
      </c>
      <c r="C5" s="20" t="s">
        <v>15</v>
      </c>
      <c r="D5" s="21">
        <v>1.83</v>
      </c>
      <c r="E5" s="22">
        <v>60.12</v>
      </c>
    </row>
    <row r="6" spans="1:10">
      <c r="A6" s="20" t="s">
        <v>397</v>
      </c>
      <c r="B6" s="23" t="s">
        <v>152</v>
      </c>
      <c r="C6" s="20" t="s">
        <v>15</v>
      </c>
      <c r="D6" s="21">
        <v>2.57</v>
      </c>
      <c r="E6" s="22">
        <v>79.58</v>
      </c>
    </row>
    <row r="7" spans="1:10">
      <c r="A7" s="19" t="s">
        <v>7</v>
      </c>
      <c r="B7" s="20"/>
      <c r="C7" s="20"/>
      <c r="D7" s="24">
        <f>SUM(D2:D6)</f>
        <v>15.9</v>
      </c>
      <c r="E7" s="25">
        <f>SUM(E2:E6)</f>
        <v>458.35</v>
      </c>
    </row>
    <row r="8" spans="1:10">
      <c r="A8" s="19"/>
      <c r="B8" s="20"/>
      <c r="C8" s="20"/>
      <c r="D8" s="24"/>
      <c r="E8" s="25"/>
    </row>
    <row r="9" spans="1:10">
      <c r="A9" s="20" t="s">
        <v>390</v>
      </c>
      <c r="B9" s="23" t="s">
        <v>217</v>
      </c>
      <c r="C9" s="20" t="s">
        <v>218</v>
      </c>
      <c r="D9" s="55">
        <v>0.83</v>
      </c>
      <c r="E9" s="22">
        <v>22.5</v>
      </c>
    </row>
    <row r="10" spans="1:10">
      <c r="A10" s="19" t="s">
        <v>7</v>
      </c>
      <c r="B10" s="19"/>
      <c r="C10" s="20"/>
      <c r="D10" s="24">
        <f>SUM(D9)</f>
        <v>0.83</v>
      </c>
      <c r="E10" s="25">
        <f>SUM(E9)</f>
        <v>22.5</v>
      </c>
    </row>
    <row r="11" spans="1:10">
      <c r="A11" s="19"/>
      <c r="B11" s="20"/>
      <c r="C11" s="20"/>
      <c r="D11" s="26"/>
      <c r="E11" s="25"/>
    </row>
    <row r="12" spans="1:10">
      <c r="A12" s="20" t="s">
        <v>384</v>
      </c>
      <c r="B12" s="23" t="s">
        <v>154</v>
      </c>
      <c r="C12" s="20" t="s">
        <v>23</v>
      </c>
      <c r="D12" s="21">
        <v>0.56999999999999995</v>
      </c>
      <c r="E12" s="22">
        <v>19.62</v>
      </c>
    </row>
    <row r="13" spans="1:10">
      <c r="A13" s="47" t="s">
        <v>398</v>
      </c>
      <c r="B13" s="48" t="s">
        <v>154</v>
      </c>
      <c r="C13" s="47" t="s">
        <v>23</v>
      </c>
      <c r="D13" s="49">
        <v>6.47</v>
      </c>
      <c r="E13" s="50">
        <v>164.9</v>
      </c>
      <c r="F13" s="20" t="s">
        <v>310</v>
      </c>
    </row>
    <row r="14" spans="1:10">
      <c r="A14" s="19" t="s">
        <v>7</v>
      </c>
      <c r="B14" s="20"/>
      <c r="C14" s="20"/>
      <c r="D14" s="26">
        <f>SUM(D12:D13)</f>
        <v>7.04</v>
      </c>
      <c r="E14" s="25">
        <f>SUM(E12:E13)</f>
        <v>184.52</v>
      </c>
    </row>
    <row r="15" spans="1:10">
      <c r="A15" s="19"/>
      <c r="B15" s="23"/>
      <c r="C15" s="20"/>
      <c r="D15" s="26"/>
      <c r="E15" s="25"/>
    </row>
    <row r="16" spans="1:10">
      <c r="A16" s="20" t="s">
        <v>195</v>
      </c>
      <c r="B16" s="23" t="s">
        <v>155</v>
      </c>
      <c r="C16" s="20" t="s">
        <v>196</v>
      </c>
      <c r="D16" s="21">
        <v>0.43</v>
      </c>
      <c r="E16" s="22">
        <v>14.38</v>
      </c>
    </row>
    <row r="17" spans="1:6">
      <c r="A17" s="20" t="s">
        <v>415</v>
      </c>
      <c r="B17" s="23" t="s">
        <v>155</v>
      </c>
      <c r="C17" s="20" t="s">
        <v>196</v>
      </c>
      <c r="D17" s="21">
        <v>0.45</v>
      </c>
      <c r="E17" s="22">
        <v>14.6</v>
      </c>
    </row>
    <row r="18" spans="1:6">
      <c r="A18" s="19" t="s">
        <v>7</v>
      </c>
      <c r="B18" s="20"/>
      <c r="C18" s="20"/>
      <c r="D18" s="26">
        <f>SUM(D16:D17)</f>
        <v>0.88</v>
      </c>
      <c r="E18" s="25">
        <f>SUM(E16:E17)</f>
        <v>28.98</v>
      </c>
    </row>
    <row r="19" spans="1:6">
      <c r="A19" s="19"/>
      <c r="B19" s="20"/>
      <c r="C19" s="20"/>
      <c r="D19" s="26"/>
      <c r="E19" s="25"/>
    </row>
    <row r="20" spans="1:6">
      <c r="A20" s="27" t="s">
        <v>335</v>
      </c>
      <c r="B20" s="28" t="s">
        <v>156</v>
      </c>
      <c r="C20" s="27" t="s">
        <v>91</v>
      </c>
      <c r="D20" s="29">
        <v>6.65</v>
      </c>
      <c r="E20" s="30">
        <v>199.5</v>
      </c>
      <c r="F20" s="20" t="s">
        <v>310</v>
      </c>
    </row>
    <row r="21" spans="1:6">
      <c r="A21" s="20" t="s">
        <v>92</v>
      </c>
      <c r="B21" s="23" t="s">
        <v>156</v>
      </c>
      <c r="C21" s="20" t="s">
        <v>91</v>
      </c>
      <c r="D21" s="21">
        <v>3.75</v>
      </c>
      <c r="E21" s="22">
        <v>103.22</v>
      </c>
    </row>
    <row r="22" spans="1:6">
      <c r="A22" s="27" t="s">
        <v>400</v>
      </c>
      <c r="B22" s="28" t="s">
        <v>156</v>
      </c>
      <c r="C22" s="27" t="s">
        <v>91</v>
      </c>
      <c r="D22" s="29">
        <v>5.93</v>
      </c>
      <c r="E22" s="30">
        <v>151.30000000000001</v>
      </c>
      <c r="F22" s="20" t="s">
        <v>310</v>
      </c>
    </row>
    <row r="23" spans="1:6">
      <c r="A23" s="27" t="s">
        <v>417</v>
      </c>
      <c r="B23" s="28" t="s">
        <v>156</v>
      </c>
      <c r="C23" s="27" t="s">
        <v>91</v>
      </c>
      <c r="D23" s="29">
        <f>2.35+3.62</f>
        <v>5.9700000000000006</v>
      </c>
      <c r="E23" s="30">
        <f>58.16+89.51</f>
        <v>147.67000000000002</v>
      </c>
      <c r="F23" s="20" t="s">
        <v>310</v>
      </c>
    </row>
    <row r="24" spans="1:6">
      <c r="A24" s="19" t="s">
        <v>7</v>
      </c>
      <c r="B24" s="20"/>
      <c r="C24" s="20"/>
      <c r="D24" s="26">
        <f>SUM(D20:D23)</f>
        <v>22.299999999999997</v>
      </c>
      <c r="E24" s="25">
        <f>SUM(E20:E23)</f>
        <v>601.69000000000005</v>
      </c>
    </row>
    <row r="25" spans="1:6">
      <c r="A25" s="20"/>
      <c r="B25" s="20"/>
      <c r="C25" s="20"/>
      <c r="D25" s="21"/>
      <c r="E25" s="22"/>
    </row>
    <row r="26" spans="1:6">
      <c r="A26" s="27" t="s">
        <v>290</v>
      </c>
      <c r="B26" s="28" t="s">
        <v>157</v>
      </c>
      <c r="C26" s="27" t="s">
        <v>66</v>
      </c>
      <c r="D26" s="29">
        <v>11.8</v>
      </c>
      <c r="E26" s="30">
        <v>283.2</v>
      </c>
      <c r="F26" s="20" t="s">
        <v>310</v>
      </c>
    </row>
    <row r="27" spans="1:6">
      <c r="A27" s="27" t="s">
        <v>391</v>
      </c>
      <c r="B27" s="28" t="s">
        <v>157</v>
      </c>
      <c r="C27" s="27" t="s">
        <v>66</v>
      </c>
      <c r="D27" s="29">
        <v>17.8</v>
      </c>
      <c r="E27" s="30">
        <v>427.2</v>
      </c>
      <c r="F27" s="20" t="s">
        <v>310</v>
      </c>
    </row>
    <row r="28" spans="1:6">
      <c r="A28" s="27" t="s">
        <v>175</v>
      </c>
      <c r="B28" s="28" t="s">
        <v>157</v>
      </c>
      <c r="C28" s="27" t="s">
        <v>66</v>
      </c>
      <c r="D28" s="29">
        <v>7</v>
      </c>
      <c r="E28" s="30">
        <v>141.75</v>
      </c>
      <c r="F28" s="20" t="s">
        <v>310</v>
      </c>
    </row>
    <row r="29" spans="1:6">
      <c r="A29" s="27" t="s">
        <v>228</v>
      </c>
      <c r="B29" s="28" t="s">
        <v>157</v>
      </c>
      <c r="C29" s="27" t="s">
        <v>66</v>
      </c>
      <c r="D29" s="29">
        <v>25.03</v>
      </c>
      <c r="E29" s="30">
        <v>600.79999999999995</v>
      </c>
      <c r="F29" s="20" t="s">
        <v>310</v>
      </c>
    </row>
    <row r="30" spans="1:6">
      <c r="A30" s="27" t="s">
        <v>410</v>
      </c>
      <c r="B30" s="28" t="s">
        <v>157</v>
      </c>
      <c r="C30" s="27" t="s">
        <v>66</v>
      </c>
      <c r="D30" s="29">
        <v>7.28</v>
      </c>
      <c r="E30" s="30">
        <v>152.94999999999999</v>
      </c>
      <c r="F30" s="20" t="s">
        <v>310</v>
      </c>
    </row>
    <row r="31" spans="1:6">
      <c r="A31" s="27" t="s">
        <v>75</v>
      </c>
      <c r="B31" s="28" t="s">
        <v>157</v>
      </c>
      <c r="C31" s="27" t="s">
        <v>66</v>
      </c>
      <c r="D31" s="29">
        <v>14.4</v>
      </c>
      <c r="E31" s="30">
        <v>345.6</v>
      </c>
      <c r="F31" s="20" t="s">
        <v>310</v>
      </c>
    </row>
    <row r="32" spans="1:6">
      <c r="A32" s="27" t="s">
        <v>210</v>
      </c>
      <c r="B32" s="28" t="s">
        <v>157</v>
      </c>
      <c r="C32" s="27" t="s">
        <v>66</v>
      </c>
      <c r="D32" s="29">
        <v>9.67</v>
      </c>
      <c r="E32" s="30">
        <v>239.25</v>
      </c>
      <c r="F32" s="20" t="s">
        <v>310</v>
      </c>
    </row>
    <row r="33" spans="1:6">
      <c r="A33" s="20" t="s">
        <v>267</v>
      </c>
      <c r="B33" s="23" t="s">
        <v>157</v>
      </c>
      <c r="C33" s="20" t="s">
        <v>66</v>
      </c>
      <c r="D33" s="21">
        <v>0.62</v>
      </c>
      <c r="E33" s="22">
        <v>15.26</v>
      </c>
    </row>
    <row r="34" spans="1:6">
      <c r="A34" s="27" t="s">
        <v>292</v>
      </c>
      <c r="B34" s="28" t="s">
        <v>157</v>
      </c>
      <c r="C34" s="27" t="s">
        <v>66</v>
      </c>
      <c r="D34" s="91">
        <v>8.77</v>
      </c>
      <c r="E34" s="30">
        <v>210.4</v>
      </c>
      <c r="F34" s="20" t="s">
        <v>310</v>
      </c>
    </row>
    <row r="35" spans="1:6">
      <c r="A35" s="27" t="s">
        <v>429</v>
      </c>
      <c r="B35" s="28" t="s">
        <v>157</v>
      </c>
      <c r="C35" s="27" t="s">
        <v>66</v>
      </c>
      <c r="D35" s="91">
        <v>17.32</v>
      </c>
      <c r="E35" s="30">
        <v>389.63</v>
      </c>
      <c r="F35" s="20" t="s">
        <v>310</v>
      </c>
    </row>
    <row r="36" spans="1:6">
      <c r="A36" s="27" t="s">
        <v>418</v>
      </c>
      <c r="B36" s="28" t="s">
        <v>157</v>
      </c>
      <c r="C36" s="27" t="s">
        <v>66</v>
      </c>
      <c r="D36" s="91">
        <v>13.42</v>
      </c>
      <c r="E36" s="30">
        <v>271.69</v>
      </c>
      <c r="F36" s="20" t="s">
        <v>310</v>
      </c>
    </row>
    <row r="37" spans="1:6">
      <c r="A37" s="27" t="s">
        <v>419</v>
      </c>
      <c r="B37" s="28" t="s">
        <v>157</v>
      </c>
      <c r="C37" s="27" t="s">
        <v>66</v>
      </c>
      <c r="D37" s="91">
        <v>13.77</v>
      </c>
      <c r="E37" s="30">
        <v>278.77999999999997</v>
      </c>
      <c r="F37" s="20" t="s">
        <v>310</v>
      </c>
    </row>
    <row r="38" spans="1:6">
      <c r="A38" s="27" t="s">
        <v>85</v>
      </c>
      <c r="B38" s="28" t="s">
        <v>157</v>
      </c>
      <c r="C38" s="27" t="s">
        <v>66</v>
      </c>
      <c r="D38" s="27">
        <v>15.07</v>
      </c>
      <c r="E38" s="30">
        <v>372.9</v>
      </c>
      <c r="F38" s="20" t="s">
        <v>310</v>
      </c>
    </row>
    <row r="39" spans="1:6">
      <c r="A39" s="27" t="s">
        <v>159</v>
      </c>
      <c r="B39" s="28" t="s">
        <v>157</v>
      </c>
      <c r="C39" s="27" t="s">
        <v>66</v>
      </c>
      <c r="D39" s="91">
        <v>21.83</v>
      </c>
      <c r="E39" s="30">
        <v>524</v>
      </c>
      <c r="F39" s="20" t="s">
        <v>310</v>
      </c>
    </row>
    <row r="40" spans="1:6">
      <c r="A40" s="20" t="s">
        <v>88</v>
      </c>
      <c r="B40" s="23" t="s">
        <v>157</v>
      </c>
      <c r="C40" s="20" t="s">
        <v>66</v>
      </c>
      <c r="D40" s="55">
        <v>4</v>
      </c>
      <c r="E40" s="22">
        <v>99</v>
      </c>
    </row>
    <row r="41" spans="1:6">
      <c r="A41" s="27" t="s">
        <v>407</v>
      </c>
      <c r="B41" s="28" t="s">
        <v>157</v>
      </c>
      <c r="C41" s="27" t="s">
        <v>66</v>
      </c>
      <c r="D41" s="91">
        <v>5.28</v>
      </c>
      <c r="E41" s="30">
        <v>126.8</v>
      </c>
      <c r="F41" s="20" t="s">
        <v>310</v>
      </c>
    </row>
    <row r="42" spans="1:6">
      <c r="A42" s="27" t="s">
        <v>328</v>
      </c>
      <c r="B42" s="28" t="s">
        <v>157</v>
      </c>
      <c r="C42" s="27" t="s">
        <v>66</v>
      </c>
      <c r="D42" s="91">
        <v>19.329999999999998</v>
      </c>
      <c r="E42" s="30">
        <v>478.5</v>
      </c>
      <c r="F42" s="20" t="s">
        <v>310</v>
      </c>
    </row>
    <row r="43" spans="1:6">
      <c r="A43" s="27" t="s">
        <v>422</v>
      </c>
      <c r="B43" s="28" t="s">
        <v>157</v>
      </c>
      <c r="C43" s="27" t="s">
        <v>66</v>
      </c>
      <c r="D43" s="29">
        <v>41.37</v>
      </c>
      <c r="E43" s="30">
        <v>1178.95</v>
      </c>
      <c r="F43" s="20" t="s">
        <v>310</v>
      </c>
    </row>
    <row r="44" spans="1:6">
      <c r="A44" s="27" t="s">
        <v>79</v>
      </c>
      <c r="B44" s="28" t="s">
        <v>157</v>
      </c>
      <c r="C44" s="27" t="s">
        <v>66</v>
      </c>
      <c r="D44" s="27">
        <v>6.35</v>
      </c>
      <c r="E44" s="30">
        <v>152.4</v>
      </c>
      <c r="F44" s="20" t="s">
        <v>310</v>
      </c>
    </row>
    <row r="45" spans="1:6">
      <c r="A45" s="27" t="s">
        <v>430</v>
      </c>
      <c r="B45" s="28" t="s">
        <v>157</v>
      </c>
      <c r="C45" s="27" t="s">
        <v>66</v>
      </c>
      <c r="D45" s="27">
        <v>21.42</v>
      </c>
      <c r="E45" s="30">
        <v>514</v>
      </c>
      <c r="F45" s="20" t="s">
        <v>310</v>
      </c>
    </row>
    <row r="46" spans="1:6">
      <c r="A46" s="27" t="s">
        <v>375</v>
      </c>
      <c r="B46" s="28" t="s">
        <v>157</v>
      </c>
      <c r="C46" s="27" t="s">
        <v>66</v>
      </c>
      <c r="D46" s="27">
        <v>21.47</v>
      </c>
      <c r="E46" s="30">
        <v>515.20000000000005</v>
      </c>
      <c r="F46" s="20" t="s">
        <v>310</v>
      </c>
    </row>
    <row r="47" spans="1:6">
      <c r="A47" s="19" t="s">
        <v>7</v>
      </c>
      <c r="B47" s="20"/>
      <c r="C47" s="20"/>
      <c r="D47" s="26">
        <f>SUM(D26:D46)</f>
        <v>303</v>
      </c>
      <c r="E47" s="25">
        <f>SUM(E26:E46)</f>
        <v>7318.2599999999993</v>
      </c>
    </row>
    <row r="48" spans="1:6">
      <c r="A48" s="19"/>
      <c r="B48" s="20"/>
      <c r="C48" s="20"/>
      <c r="D48" s="26"/>
      <c r="E48" s="25"/>
    </row>
    <row r="49" spans="1:6">
      <c r="A49" s="20" t="s">
        <v>431</v>
      </c>
      <c r="B49" s="23" t="s">
        <v>162</v>
      </c>
      <c r="C49" s="20" t="s">
        <v>51</v>
      </c>
      <c r="D49" s="21">
        <v>0.8</v>
      </c>
      <c r="E49" s="22">
        <v>16.2</v>
      </c>
    </row>
    <row r="50" spans="1:6">
      <c r="A50" s="27" t="s">
        <v>163</v>
      </c>
      <c r="B50" s="28" t="s">
        <v>162</v>
      </c>
      <c r="C50" s="27" t="s">
        <v>51</v>
      </c>
      <c r="D50" s="29">
        <v>10</v>
      </c>
      <c r="E50" s="30">
        <v>285.5</v>
      </c>
      <c r="F50" s="20" t="s">
        <v>310</v>
      </c>
    </row>
    <row r="51" spans="1:6">
      <c r="A51" s="27" t="s">
        <v>50</v>
      </c>
      <c r="B51" s="28" t="s">
        <v>162</v>
      </c>
      <c r="C51" s="27" t="s">
        <v>51</v>
      </c>
      <c r="D51" s="29">
        <v>8.83</v>
      </c>
      <c r="E51" s="30">
        <v>172.25</v>
      </c>
      <c r="F51" s="20" t="s">
        <v>310</v>
      </c>
    </row>
    <row r="52" spans="1:6">
      <c r="A52" s="19" t="s">
        <v>7</v>
      </c>
      <c r="B52" s="23"/>
      <c r="C52" s="20"/>
      <c r="D52" s="26">
        <f>SUM(D49:D51)</f>
        <v>19.630000000000003</v>
      </c>
      <c r="E52" s="25">
        <f>SUM(E49:E51)</f>
        <v>473.95</v>
      </c>
    </row>
    <row r="53" spans="1:6">
      <c r="A53" s="19"/>
      <c r="B53" s="20"/>
      <c r="C53" s="20"/>
      <c r="D53" s="26"/>
      <c r="E53" s="25"/>
    </row>
    <row r="54" spans="1:6">
      <c r="A54" s="27" t="s">
        <v>203</v>
      </c>
      <c r="B54" s="28" t="s">
        <v>164</v>
      </c>
      <c r="C54" s="27" t="s">
        <v>60</v>
      </c>
      <c r="D54" s="29">
        <v>6.7</v>
      </c>
      <c r="E54" s="30">
        <v>140.69999999999999</v>
      </c>
      <c r="F54" s="20" t="s">
        <v>310</v>
      </c>
    </row>
    <row r="55" spans="1:6">
      <c r="A55" s="27" t="s">
        <v>411</v>
      </c>
      <c r="B55" s="28" t="s">
        <v>164</v>
      </c>
      <c r="C55" s="27" t="s">
        <v>60</v>
      </c>
      <c r="D55" s="29">
        <v>5.25</v>
      </c>
      <c r="E55" s="30">
        <v>141.75</v>
      </c>
      <c r="F55" s="20" t="s">
        <v>310</v>
      </c>
    </row>
    <row r="56" spans="1:6">
      <c r="A56" s="20" t="s">
        <v>432</v>
      </c>
      <c r="B56" s="23" t="s">
        <v>164</v>
      </c>
      <c r="C56" s="20" t="s">
        <v>60</v>
      </c>
      <c r="D56" s="21">
        <v>1.38</v>
      </c>
      <c r="E56" s="22">
        <v>28.53</v>
      </c>
    </row>
    <row r="57" spans="1:6">
      <c r="A57" s="27" t="s">
        <v>64</v>
      </c>
      <c r="B57" s="28" t="s">
        <v>164</v>
      </c>
      <c r="C57" s="27" t="s">
        <v>60</v>
      </c>
      <c r="D57" s="29">
        <v>8.6199999999999992</v>
      </c>
      <c r="E57" s="30">
        <v>180.95</v>
      </c>
      <c r="F57" s="20" t="s">
        <v>310</v>
      </c>
    </row>
    <row r="58" spans="1:6">
      <c r="A58" s="19" t="s">
        <v>7</v>
      </c>
      <c r="B58" s="20"/>
      <c r="C58" s="20"/>
      <c r="D58" s="26">
        <f>SUM(D54:D57)</f>
        <v>21.949999999999996</v>
      </c>
      <c r="E58" s="25">
        <f>SUM(E54:E57)</f>
        <v>491.93</v>
      </c>
    </row>
    <row r="59" spans="1:6">
      <c r="A59" s="19"/>
      <c r="B59" s="20"/>
      <c r="C59" s="20"/>
      <c r="D59" s="26"/>
      <c r="E59" s="25"/>
    </row>
    <row r="60" spans="1:6">
      <c r="A60" s="20" t="s">
        <v>412</v>
      </c>
      <c r="B60" s="23" t="s">
        <v>165</v>
      </c>
      <c r="C60" s="20" t="s">
        <v>45</v>
      </c>
      <c r="D60" s="21">
        <v>2.2799999999999998</v>
      </c>
      <c r="E60" s="22">
        <v>51.38</v>
      </c>
    </row>
    <row r="61" spans="1:6">
      <c r="A61" s="19" t="s">
        <v>7</v>
      </c>
      <c r="B61" s="20"/>
      <c r="C61" s="20"/>
      <c r="D61" s="26">
        <f>SUM(D60:D60)</f>
        <v>2.2799999999999998</v>
      </c>
      <c r="E61" s="25">
        <f>SUM(E60:E60)</f>
        <v>51.38</v>
      </c>
    </row>
    <row r="62" spans="1:6">
      <c r="A62" s="19"/>
      <c r="B62" s="20"/>
      <c r="C62" s="20"/>
      <c r="D62" s="26"/>
      <c r="E62" s="25"/>
    </row>
    <row r="63" spans="1:6">
      <c r="A63" s="27" t="s">
        <v>166</v>
      </c>
      <c r="B63" s="28" t="s">
        <v>167</v>
      </c>
      <c r="C63" s="27" t="s">
        <v>54</v>
      </c>
      <c r="D63" s="29">
        <v>5.35</v>
      </c>
      <c r="E63" s="30">
        <v>128.4</v>
      </c>
      <c r="F63" s="20" t="s">
        <v>310</v>
      </c>
    </row>
    <row r="64" spans="1:6">
      <c r="A64" s="20" t="s">
        <v>421</v>
      </c>
      <c r="B64" s="23" t="s">
        <v>167</v>
      </c>
      <c r="C64" s="20" t="s">
        <v>54</v>
      </c>
      <c r="D64" s="21">
        <v>0.93</v>
      </c>
      <c r="E64" s="22">
        <v>25.2</v>
      </c>
    </row>
    <row r="65" spans="1:6">
      <c r="A65" s="20" t="s">
        <v>393</v>
      </c>
      <c r="B65" s="23" t="s">
        <v>167</v>
      </c>
      <c r="C65" s="20" t="s">
        <v>54</v>
      </c>
      <c r="D65" s="21">
        <v>0.43</v>
      </c>
      <c r="E65" s="22">
        <v>9.1</v>
      </c>
    </row>
    <row r="66" spans="1:6">
      <c r="A66" s="19" t="s">
        <v>7</v>
      </c>
      <c r="B66" s="23"/>
      <c r="C66" s="20"/>
      <c r="D66" s="26">
        <f>SUM(D63:D65)</f>
        <v>6.7099999999999991</v>
      </c>
      <c r="E66" s="25">
        <f>SUM(E63:E65)</f>
        <v>162.69999999999999</v>
      </c>
    </row>
    <row r="67" spans="1:6">
      <c r="A67" s="19"/>
      <c r="B67" s="23"/>
      <c r="C67" s="20"/>
      <c r="D67" s="26"/>
      <c r="E67" s="25"/>
    </row>
    <row r="68" spans="1:6">
      <c r="A68" s="20" t="s">
        <v>424</v>
      </c>
      <c r="B68" s="23" t="s">
        <v>171</v>
      </c>
      <c r="C68" s="20" t="s">
        <v>25</v>
      </c>
      <c r="D68" s="21">
        <v>0.45</v>
      </c>
      <c r="E68" s="22">
        <v>14.93</v>
      </c>
    </row>
    <row r="69" spans="1:6">
      <c r="A69" s="111" t="s">
        <v>368</v>
      </c>
      <c r="B69" s="112" t="s">
        <v>171</v>
      </c>
      <c r="C69" s="111" t="s">
        <v>25</v>
      </c>
      <c r="D69" s="113">
        <v>21.72</v>
      </c>
      <c r="E69" s="114">
        <v>667.79</v>
      </c>
      <c r="F69" s="20" t="s">
        <v>310</v>
      </c>
    </row>
    <row r="70" spans="1:6">
      <c r="A70" s="19" t="s">
        <v>7</v>
      </c>
      <c r="B70" s="20"/>
      <c r="C70" s="20"/>
      <c r="D70" s="26">
        <f>SUM(D68:D69)</f>
        <v>22.169999999999998</v>
      </c>
      <c r="E70" s="25">
        <f>SUM(E68:E69)</f>
        <v>682.71999999999991</v>
      </c>
    </row>
    <row r="71" spans="1:6">
      <c r="A71" s="19"/>
      <c r="B71" s="20"/>
      <c r="C71" s="20"/>
      <c r="D71" s="26"/>
      <c r="E71" s="25"/>
    </row>
    <row r="72" spans="1:6">
      <c r="A72" s="20" t="s">
        <v>394</v>
      </c>
      <c r="B72" s="23" t="s">
        <v>172</v>
      </c>
      <c r="C72" s="20" t="s">
        <v>348</v>
      </c>
      <c r="D72" s="21">
        <v>0.48</v>
      </c>
      <c r="E72" s="22">
        <v>16.91</v>
      </c>
    </row>
    <row r="73" spans="1:6">
      <c r="A73" s="20" t="s">
        <v>413</v>
      </c>
      <c r="B73" s="23" t="s">
        <v>172</v>
      </c>
      <c r="C73" s="20" t="s">
        <v>348</v>
      </c>
      <c r="D73" s="21">
        <v>1.17</v>
      </c>
      <c r="E73" s="22">
        <v>39.97</v>
      </c>
    </row>
    <row r="74" spans="1:6">
      <c r="A74" s="19" t="s">
        <v>7</v>
      </c>
      <c r="B74" s="20"/>
      <c r="C74" s="20"/>
      <c r="D74" s="26">
        <f>SUM(D72:D73)</f>
        <v>1.65</v>
      </c>
      <c r="E74" s="25">
        <f>SUM(E72:E73)</f>
        <v>56.879999999999995</v>
      </c>
    </row>
    <row r="75" spans="1:6">
      <c r="A75" s="20"/>
      <c r="B75" s="20"/>
      <c r="C75" s="20"/>
      <c r="D75" s="21"/>
      <c r="E75" s="22"/>
    </row>
    <row r="76" spans="1:6">
      <c r="A76" s="20" t="s">
        <v>307</v>
      </c>
      <c r="B76" s="20">
        <v>100035</v>
      </c>
      <c r="C76" s="20" t="s">
        <v>332</v>
      </c>
      <c r="D76" s="21">
        <v>0.8</v>
      </c>
      <c r="E76" s="22">
        <v>30.08</v>
      </c>
    </row>
    <row r="77" spans="1:6">
      <c r="A77" s="47" t="s">
        <v>331</v>
      </c>
      <c r="B77" s="47">
        <v>100035</v>
      </c>
      <c r="C77" s="47" t="s">
        <v>332</v>
      </c>
      <c r="D77" s="49">
        <v>11.77</v>
      </c>
      <c r="E77" s="50">
        <v>368.53</v>
      </c>
      <c r="F77" s="20" t="s">
        <v>310</v>
      </c>
    </row>
    <row r="78" spans="1:6">
      <c r="A78" s="19" t="s">
        <v>7</v>
      </c>
      <c r="B78" s="20"/>
      <c r="C78" s="20"/>
      <c r="D78" s="26">
        <f>SUM(D76:D77)</f>
        <v>12.57</v>
      </c>
      <c r="E78" s="25">
        <f>SUM(E76:E77)</f>
        <v>398.60999999999996</v>
      </c>
    </row>
    <row r="79" spans="1:6">
      <c r="A79" s="19"/>
      <c r="B79" s="20"/>
      <c r="C79" s="20"/>
      <c r="D79" s="21"/>
      <c r="E79" s="22"/>
    </row>
    <row r="80" spans="1:6">
      <c r="A80" s="27" t="s">
        <v>211</v>
      </c>
      <c r="B80" s="27">
        <v>100051</v>
      </c>
      <c r="C80" s="27" t="s">
        <v>34</v>
      </c>
      <c r="D80" s="29">
        <v>6</v>
      </c>
      <c r="E80" s="30">
        <v>121.5</v>
      </c>
      <c r="F80" s="20" t="s">
        <v>310</v>
      </c>
    </row>
    <row r="81" spans="1:6">
      <c r="A81" s="27" t="s">
        <v>380</v>
      </c>
      <c r="B81" s="27">
        <v>100051</v>
      </c>
      <c r="C81" s="27" t="s">
        <v>34</v>
      </c>
      <c r="D81" s="29">
        <v>7</v>
      </c>
      <c r="E81" s="30">
        <v>141.75</v>
      </c>
      <c r="F81" s="20" t="s">
        <v>310</v>
      </c>
    </row>
    <row r="82" spans="1:6">
      <c r="A82" s="27" t="s">
        <v>37</v>
      </c>
      <c r="B82" s="27">
        <v>100051</v>
      </c>
      <c r="C82" s="27" t="s">
        <v>34</v>
      </c>
      <c r="D82" s="29">
        <v>24</v>
      </c>
      <c r="E82" s="30">
        <v>594</v>
      </c>
      <c r="F82" s="20" t="s">
        <v>310</v>
      </c>
    </row>
    <row r="83" spans="1:6">
      <c r="A83" s="27" t="s">
        <v>433</v>
      </c>
      <c r="B83" s="27">
        <v>100051</v>
      </c>
      <c r="C83" s="27" t="s">
        <v>34</v>
      </c>
      <c r="D83" s="29">
        <v>11.86</v>
      </c>
      <c r="E83" s="30">
        <f>71.55+168.75</f>
        <v>240.3</v>
      </c>
      <c r="F83" s="20" t="s">
        <v>310</v>
      </c>
    </row>
    <row r="84" spans="1:6">
      <c r="A84" s="27" t="s">
        <v>213</v>
      </c>
      <c r="B84" s="27">
        <v>100051</v>
      </c>
      <c r="C84" s="27" t="s">
        <v>34</v>
      </c>
      <c r="D84" s="29">
        <v>10</v>
      </c>
      <c r="E84" s="30">
        <v>217.5</v>
      </c>
      <c r="F84" s="20" t="s">
        <v>310</v>
      </c>
    </row>
    <row r="85" spans="1:6">
      <c r="A85" s="19" t="s">
        <v>7</v>
      </c>
      <c r="B85" s="20"/>
      <c r="C85" s="20"/>
      <c r="D85" s="26">
        <f>SUM(D80:D84)</f>
        <v>58.86</v>
      </c>
      <c r="E85" s="25">
        <f>SUM(E80:E84)</f>
        <v>1315.05</v>
      </c>
    </row>
    <row r="86" spans="1:6">
      <c r="A86" s="19"/>
      <c r="B86" s="20"/>
      <c r="C86" s="20"/>
      <c r="D86" s="26"/>
      <c r="E86" s="25"/>
    </row>
    <row r="87" spans="1:6">
      <c r="A87" s="20" t="s">
        <v>426</v>
      </c>
      <c r="B87" s="20">
        <v>290020</v>
      </c>
      <c r="C87" s="20" t="s">
        <v>146</v>
      </c>
      <c r="D87" s="21">
        <v>0.63</v>
      </c>
      <c r="E87" s="22">
        <v>20.55</v>
      </c>
    </row>
    <row r="88" spans="1:6">
      <c r="A88" s="19" t="s">
        <v>7</v>
      </c>
      <c r="B88" s="20"/>
      <c r="C88" s="20"/>
      <c r="D88" s="26">
        <f>SUM(D87)</f>
        <v>0.63</v>
      </c>
      <c r="E88" s="25">
        <f>SUM(E87)</f>
        <v>20.55</v>
      </c>
    </row>
    <row r="89" spans="1:6">
      <c r="A89" s="19"/>
      <c r="B89" s="20"/>
      <c r="C89" s="20"/>
      <c r="D89" s="26"/>
      <c r="E89" s="25"/>
    </row>
    <row r="90" spans="1:6">
      <c r="A90" s="20" t="s">
        <v>369</v>
      </c>
      <c r="B90" s="20">
        <v>450044</v>
      </c>
      <c r="C90" s="20" t="s">
        <v>134</v>
      </c>
      <c r="D90" s="21">
        <v>0.08</v>
      </c>
      <c r="E90" s="22">
        <v>1.81</v>
      </c>
    </row>
    <row r="91" spans="1:6">
      <c r="A91" s="19" t="s">
        <v>7</v>
      </c>
      <c r="B91" s="20"/>
      <c r="C91" s="20"/>
      <c r="D91" s="26">
        <f>SUM(D90)</f>
        <v>0.08</v>
      </c>
      <c r="E91" s="25">
        <f>SUM(E90)</f>
        <v>1.81</v>
      </c>
    </row>
    <row r="92" spans="1:6">
      <c r="A92" s="19"/>
      <c r="B92" s="20"/>
      <c r="C92" s="20"/>
      <c r="D92" s="26"/>
      <c r="E92" s="25"/>
    </row>
    <row r="93" spans="1:6">
      <c r="A93" s="20" t="s">
        <v>244</v>
      </c>
      <c r="B93" s="20">
        <v>400020</v>
      </c>
      <c r="C93" s="20" t="s">
        <v>98</v>
      </c>
      <c r="D93" s="21">
        <v>1.8</v>
      </c>
      <c r="E93" s="22">
        <v>43.63</v>
      </c>
    </row>
    <row r="94" spans="1:6">
      <c r="A94" s="20" t="s">
        <v>434</v>
      </c>
      <c r="B94" s="20">
        <v>400020</v>
      </c>
      <c r="C94" s="20" t="s">
        <v>98</v>
      </c>
      <c r="D94" s="21">
        <v>3.13</v>
      </c>
      <c r="E94" s="22">
        <v>97.81</v>
      </c>
    </row>
    <row r="95" spans="1:6">
      <c r="A95" s="19" t="s">
        <v>7</v>
      </c>
      <c r="B95" s="20"/>
      <c r="C95" s="20"/>
      <c r="D95" s="26">
        <f>SUM(D93:D94)</f>
        <v>4.93</v>
      </c>
      <c r="E95" s="25">
        <f>SUM(E93:E94)</f>
        <v>141.44</v>
      </c>
    </row>
    <row r="96" spans="1:6">
      <c r="A96" s="19"/>
      <c r="B96" s="20"/>
      <c r="C96" s="20"/>
      <c r="D96" s="26"/>
      <c r="E96" s="25"/>
    </row>
    <row r="97" spans="1:9">
      <c r="A97" s="32" t="s">
        <v>39</v>
      </c>
      <c r="B97" s="32">
        <v>550051</v>
      </c>
      <c r="C97" s="32" t="s">
        <v>104</v>
      </c>
      <c r="D97" s="33">
        <f>7.25+6</f>
        <v>13.25</v>
      </c>
      <c r="E97" s="34">
        <f>168.56+139.5</f>
        <v>308.06</v>
      </c>
      <c r="F97" s="311" t="s">
        <v>435</v>
      </c>
      <c r="G97" s="312"/>
      <c r="H97" s="312"/>
      <c r="I97" s="312"/>
    </row>
    <row r="98" spans="1:9">
      <c r="A98" s="19" t="s">
        <v>7</v>
      </c>
      <c r="B98" s="20"/>
      <c r="C98" s="20"/>
      <c r="D98" s="26">
        <f>SUM(D97)</f>
        <v>13.25</v>
      </c>
      <c r="E98" s="25">
        <f>SUM(E97)</f>
        <v>308.06</v>
      </c>
    </row>
    <row r="99" spans="1:9">
      <c r="A99" s="19"/>
      <c r="B99" s="20"/>
      <c r="C99" s="20"/>
      <c r="D99" s="26"/>
      <c r="E99" s="25"/>
    </row>
    <row r="100" spans="1:9">
      <c r="A100" s="32" t="s">
        <v>41</v>
      </c>
      <c r="B100" s="32">
        <v>550052</v>
      </c>
      <c r="C100" s="32" t="s">
        <v>126</v>
      </c>
      <c r="D100" s="33">
        <f>5.38+7.5</f>
        <v>12.879999999999999</v>
      </c>
      <c r="E100" s="34">
        <f>133.24+185.63</f>
        <v>318.87</v>
      </c>
      <c r="F100" s="311" t="s">
        <v>435</v>
      </c>
      <c r="G100" s="312"/>
      <c r="H100" s="312"/>
      <c r="I100" s="312"/>
    </row>
    <row r="101" spans="1:9">
      <c r="A101" s="19" t="s">
        <v>7</v>
      </c>
      <c r="B101" s="20"/>
      <c r="C101" s="20"/>
      <c r="D101" s="26">
        <f>SUM(D100)</f>
        <v>12.879999999999999</v>
      </c>
      <c r="E101" s="25">
        <f>SUM(E100)</f>
        <v>318.87</v>
      </c>
    </row>
    <row r="102" spans="1:9">
      <c r="A102" s="19"/>
      <c r="B102" s="20"/>
      <c r="C102" s="20"/>
      <c r="D102" s="26"/>
      <c r="E102" s="25"/>
    </row>
    <row r="103" spans="1:9">
      <c r="A103" s="19" t="s">
        <v>194</v>
      </c>
      <c r="B103" s="20"/>
      <c r="C103" s="20"/>
      <c r="D103" s="26">
        <f>D7+D10+D14+D18+D24+D47+D52+D58+D61+D66+D70+D74+D78+D85+D88+D91+D95+D98+D101</f>
        <v>527.53999999999985</v>
      </c>
      <c r="E103" s="25">
        <f>E7+E10+E14+E18+E24+E47+E52+E58+E61+E66+E70+E74+E78+E85+E88+E91+E95+E98+E101</f>
        <v>13038.249999999998</v>
      </c>
    </row>
    <row r="104" spans="1:9">
      <c r="A104" s="20"/>
      <c r="B104" s="20"/>
      <c r="C104" s="20"/>
      <c r="D104" s="21"/>
      <c r="E104" s="22"/>
    </row>
    <row r="105" spans="1:9">
      <c r="A105" s="19"/>
      <c r="B105" s="20"/>
      <c r="C105" s="20"/>
      <c r="D105" s="26"/>
      <c r="E105" s="25"/>
    </row>
    <row r="106" spans="1:9">
      <c r="A106" s="20"/>
      <c r="B106" s="20"/>
      <c r="C106" s="20"/>
      <c r="D106" s="21"/>
      <c r="E106" s="22"/>
    </row>
    <row r="107" spans="1:9">
      <c r="A107" s="20"/>
      <c r="B107" s="20"/>
      <c r="C107" s="20"/>
      <c r="D107" s="21"/>
      <c r="E107" s="22"/>
    </row>
    <row r="108" spans="1:9">
      <c r="A108" s="19"/>
      <c r="B108" s="20"/>
      <c r="C108" s="20"/>
      <c r="D108" s="26"/>
      <c r="E108" s="25"/>
    </row>
    <row r="109" spans="1:9">
      <c r="A109" s="19"/>
      <c r="B109" s="20"/>
      <c r="C109" s="20"/>
      <c r="D109" s="26"/>
      <c r="E109" s="25"/>
    </row>
    <row r="110" spans="1:9">
      <c r="A110" s="20"/>
      <c r="B110" s="20"/>
      <c r="C110" s="20"/>
      <c r="D110" s="21"/>
      <c r="E110" s="22"/>
    </row>
    <row r="111" spans="1:9">
      <c r="A111" s="19"/>
      <c r="B111" s="20"/>
      <c r="C111" s="20"/>
      <c r="D111" s="26"/>
      <c r="E111" s="25"/>
    </row>
    <row r="112" spans="1:9">
      <c r="A112" s="19"/>
      <c r="B112" s="20"/>
      <c r="C112" s="20"/>
      <c r="D112" s="26"/>
      <c r="E112" s="25"/>
    </row>
    <row r="113" spans="1:5">
      <c r="A113" s="20"/>
      <c r="B113" s="20"/>
      <c r="C113" s="20"/>
      <c r="D113" s="21"/>
      <c r="E113" s="22"/>
    </row>
    <row r="114" spans="1:5">
      <c r="A114" s="19"/>
      <c r="B114" s="20"/>
      <c r="C114" s="20"/>
      <c r="D114" s="26"/>
      <c r="E114" s="25"/>
    </row>
    <row r="115" spans="1:5">
      <c r="A115" s="19"/>
      <c r="B115" s="20"/>
      <c r="C115" s="20"/>
      <c r="D115" s="26"/>
      <c r="E115" s="25"/>
    </row>
    <row r="116" spans="1:5">
      <c r="A116" s="20"/>
      <c r="B116" s="20"/>
      <c r="C116" s="20"/>
      <c r="D116" s="21"/>
      <c r="E116" s="22"/>
    </row>
    <row r="117" spans="1:5">
      <c r="A117" s="20"/>
      <c r="B117" s="20"/>
      <c r="C117" s="20"/>
      <c r="D117" s="21"/>
      <c r="E117" s="22"/>
    </row>
  </sheetData>
  <mergeCells count="3">
    <mergeCell ref="G4:J4"/>
    <mergeCell ref="F97:I97"/>
    <mergeCell ref="F100:I100"/>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117"/>
  <sheetViews>
    <sheetView topLeftCell="A88" workbookViewId="0">
      <selection activeCell="F102" sqref="F102"/>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25.28515625" style="18" bestFit="1" customWidth="1"/>
    <col min="7" max="7" width="15.85546875" style="18" customWidth="1"/>
    <col min="8" max="8" width="17.28515625" style="18" bestFit="1" customWidth="1"/>
    <col min="9" max="10" width="15.140625" style="18" customWidth="1"/>
    <col min="11" max="11" width="15.5703125" style="18" customWidth="1"/>
    <col min="12" max="16384" width="9.140625" style="18"/>
  </cols>
  <sheetData>
    <row r="1" spans="1:11">
      <c r="A1" s="19" t="s">
        <v>147</v>
      </c>
      <c r="B1" s="19" t="s">
        <v>148</v>
      </c>
      <c r="C1" s="19" t="s">
        <v>149</v>
      </c>
      <c r="D1" s="19" t="s">
        <v>150</v>
      </c>
      <c r="E1" s="19" t="s">
        <v>151</v>
      </c>
      <c r="F1" s="11" t="s">
        <v>258</v>
      </c>
      <c r="G1" s="38" t="s">
        <v>259</v>
      </c>
      <c r="H1" s="88" t="s">
        <v>334</v>
      </c>
      <c r="I1" s="40" t="s">
        <v>260</v>
      </c>
      <c r="J1" s="119" t="s">
        <v>262</v>
      </c>
      <c r="K1" s="39" t="s">
        <v>261</v>
      </c>
    </row>
    <row r="2" spans="1:11">
      <c r="A2" s="20" t="s">
        <v>366</v>
      </c>
      <c r="B2" s="23" t="s">
        <v>152</v>
      </c>
      <c r="C2" s="20" t="s">
        <v>15</v>
      </c>
      <c r="D2" s="21">
        <v>1.67</v>
      </c>
      <c r="E2" s="22">
        <v>43.35</v>
      </c>
      <c r="F2" s="20"/>
      <c r="G2" s="13">
        <f>E20+E23+E26+E27+E29+E30+E31+E32+E33+E34+E35+E36+E37+E38+E39+E40+E42+E44+E45+E46+E49+E54+E56+E82</f>
        <v>7284.05</v>
      </c>
      <c r="H2" s="89">
        <f>E4+E5</f>
        <v>414.91999999999996</v>
      </c>
      <c r="I2" s="66">
        <f>E13</f>
        <v>180.01</v>
      </c>
      <c r="J2" s="120">
        <f>E71</f>
        <v>209.61</v>
      </c>
      <c r="K2" s="16">
        <f>E102+E105</f>
        <v>629.42000000000007</v>
      </c>
    </row>
    <row r="3" spans="1:11">
      <c r="A3" s="20" t="s">
        <v>389</v>
      </c>
      <c r="B3" s="23" t="s">
        <v>152</v>
      </c>
      <c r="C3" s="20" t="s">
        <v>15</v>
      </c>
      <c r="D3" s="21">
        <v>0.23</v>
      </c>
      <c r="E3" s="22">
        <v>6.73</v>
      </c>
    </row>
    <row r="4" spans="1:11">
      <c r="A4" s="80" t="s">
        <v>18</v>
      </c>
      <c r="B4" s="80" t="s">
        <v>152</v>
      </c>
      <c r="C4" s="80" t="s">
        <v>15</v>
      </c>
      <c r="D4" s="82">
        <v>9.8000000000000007</v>
      </c>
      <c r="E4" s="83">
        <v>272.83</v>
      </c>
      <c r="F4" s="31" t="s">
        <v>310</v>
      </c>
      <c r="G4" s="305" t="s">
        <v>263</v>
      </c>
      <c r="H4" s="306"/>
      <c r="I4" s="306"/>
      <c r="J4" s="306"/>
      <c r="K4" s="306"/>
    </row>
    <row r="5" spans="1:11">
      <c r="A5" s="80" t="s">
        <v>377</v>
      </c>
      <c r="B5" s="81" t="s">
        <v>152</v>
      </c>
      <c r="C5" s="80" t="s">
        <v>15</v>
      </c>
      <c r="D5" s="82">
        <v>4.33</v>
      </c>
      <c r="E5" s="83">
        <v>142.09</v>
      </c>
      <c r="F5" s="31" t="s">
        <v>310</v>
      </c>
    </row>
    <row r="6" spans="1:11">
      <c r="A6" s="20" t="s">
        <v>397</v>
      </c>
      <c r="B6" s="23" t="s">
        <v>152</v>
      </c>
      <c r="C6" s="20" t="s">
        <v>15</v>
      </c>
      <c r="D6" s="21">
        <v>0.7</v>
      </c>
      <c r="E6" s="22">
        <v>21.7</v>
      </c>
    </row>
    <row r="7" spans="1:11">
      <c r="A7" s="19" t="s">
        <v>7</v>
      </c>
      <c r="B7" s="20"/>
      <c r="C7" s="20"/>
      <c r="D7" s="24">
        <f>SUM(D2:D6)</f>
        <v>16.73</v>
      </c>
      <c r="E7" s="25">
        <f>SUM(E2:E6)</f>
        <v>486.7</v>
      </c>
    </row>
    <row r="8" spans="1:11">
      <c r="A8" s="19"/>
      <c r="B8" s="20"/>
      <c r="C8" s="20"/>
      <c r="D8" s="24"/>
      <c r="E8" s="25"/>
    </row>
    <row r="9" spans="1:11">
      <c r="A9" s="20" t="s">
        <v>390</v>
      </c>
      <c r="B9" s="23" t="s">
        <v>217</v>
      </c>
      <c r="C9" s="20" t="s">
        <v>218</v>
      </c>
      <c r="D9" s="55">
        <v>0.48</v>
      </c>
      <c r="E9" s="22">
        <v>13.05</v>
      </c>
    </row>
    <row r="10" spans="1:11">
      <c r="A10" s="19" t="s">
        <v>7</v>
      </c>
      <c r="B10" s="19"/>
      <c r="C10" s="20"/>
      <c r="D10" s="24">
        <f>SUM(D9)</f>
        <v>0.48</v>
      </c>
      <c r="E10" s="25">
        <f>SUM(E9)</f>
        <v>13.05</v>
      </c>
    </row>
    <row r="11" spans="1:11">
      <c r="A11" s="19"/>
      <c r="B11" s="20"/>
      <c r="C11" s="20"/>
      <c r="D11" s="26"/>
      <c r="E11" s="25"/>
    </row>
    <row r="12" spans="1:11">
      <c r="A12" s="20" t="s">
        <v>20</v>
      </c>
      <c r="B12" s="23" t="s">
        <v>154</v>
      </c>
      <c r="C12" s="20" t="s">
        <v>23</v>
      </c>
      <c r="D12" s="21">
        <v>0.47</v>
      </c>
      <c r="E12" s="22">
        <v>13.76</v>
      </c>
    </row>
    <row r="13" spans="1:11">
      <c r="A13" s="47" t="s">
        <v>398</v>
      </c>
      <c r="B13" s="48" t="s">
        <v>154</v>
      </c>
      <c r="C13" s="47" t="s">
        <v>23</v>
      </c>
      <c r="D13" s="49">
        <v>6.55</v>
      </c>
      <c r="E13" s="50">
        <v>180.01</v>
      </c>
      <c r="F13" s="31" t="s">
        <v>310</v>
      </c>
    </row>
    <row r="14" spans="1:11">
      <c r="A14" s="19" t="s">
        <v>7</v>
      </c>
      <c r="B14" s="20"/>
      <c r="C14" s="20"/>
      <c r="D14" s="26">
        <f>SUM(D12:D13)</f>
        <v>7.02</v>
      </c>
      <c r="E14" s="25">
        <f>SUM(E12:E13)</f>
        <v>193.76999999999998</v>
      </c>
    </row>
    <row r="15" spans="1:11">
      <c r="A15" s="19"/>
      <c r="B15" s="23"/>
      <c r="C15" s="20"/>
      <c r="D15" s="26"/>
      <c r="E15" s="25"/>
    </row>
    <row r="16" spans="1:11">
      <c r="A16" s="20" t="s">
        <v>195</v>
      </c>
      <c r="B16" s="23" t="s">
        <v>155</v>
      </c>
      <c r="C16" s="20" t="s">
        <v>196</v>
      </c>
      <c r="D16" s="21">
        <v>0.22</v>
      </c>
      <c r="E16" s="22">
        <v>7.19</v>
      </c>
    </row>
    <row r="17" spans="1:6">
      <c r="A17" s="20" t="s">
        <v>415</v>
      </c>
      <c r="B17" s="23" t="s">
        <v>155</v>
      </c>
      <c r="C17" s="20" t="s">
        <v>196</v>
      </c>
      <c r="D17" s="21">
        <v>1.65</v>
      </c>
      <c r="E17" s="22">
        <v>53.53</v>
      </c>
    </row>
    <row r="18" spans="1:6">
      <c r="A18" s="19" t="s">
        <v>7</v>
      </c>
      <c r="B18" s="20"/>
      <c r="C18" s="20"/>
      <c r="D18" s="26">
        <f>SUM(D16:D17)</f>
        <v>1.8699999999999999</v>
      </c>
      <c r="E18" s="25">
        <f>SUM(E16:E17)</f>
        <v>60.72</v>
      </c>
    </row>
    <row r="19" spans="1:6">
      <c r="A19" s="19"/>
      <c r="B19" s="20"/>
      <c r="C19" s="20"/>
      <c r="D19" s="26"/>
      <c r="E19" s="25"/>
    </row>
    <row r="20" spans="1:6">
      <c r="A20" s="27" t="s">
        <v>335</v>
      </c>
      <c r="B20" s="28" t="s">
        <v>156</v>
      </c>
      <c r="C20" s="27" t="s">
        <v>91</v>
      </c>
      <c r="D20" s="29">
        <v>9.6</v>
      </c>
      <c r="E20" s="30">
        <v>288</v>
      </c>
      <c r="F20" s="31" t="s">
        <v>310</v>
      </c>
    </row>
    <row r="21" spans="1:6">
      <c r="A21" s="20" t="s">
        <v>92</v>
      </c>
      <c r="B21" s="23" t="s">
        <v>156</v>
      </c>
      <c r="C21" s="20" t="s">
        <v>91</v>
      </c>
      <c r="D21" s="21">
        <v>1.05</v>
      </c>
      <c r="E21" s="22">
        <v>28.9</v>
      </c>
    </row>
    <row r="22" spans="1:6">
      <c r="A22" s="20" t="s">
        <v>400</v>
      </c>
      <c r="B22" s="23" t="s">
        <v>156</v>
      </c>
      <c r="C22" s="20" t="s">
        <v>91</v>
      </c>
      <c r="D22" s="21">
        <v>3.15</v>
      </c>
      <c r="E22" s="22">
        <v>80.33</v>
      </c>
    </row>
    <row r="23" spans="1:6">
      <c r="A23" s="27" t="s">
        <v>417</v>
      </c>
      <c r="B23" s="28" t="s">
        <v>156</v>
      </c>
      <c r="C23" s="27" t="s">
        <v>91</v>
      </c>
      <c r="D23" s="29">
        <v>4.1500000000000004</v>
      </c>
      <c r="E23" s="30">
        <v>102.72</v>
      </c>
      <c r="F23" s="31" t="s">
        <v>310</v>
      </c>
    </row>
    <row r="24" spans="1:6">
      <c r="A24" s="19" t="s">
        <v>7</v>
      </c>
      <c r="B24" s="20"/>
      <c r="C24" s="20"/>
      <c r="D24" s="26">
        <f>SUM(D20:D23)</f>
        <v>17.950000000000003</v>
      </c>
      <c r="E24" s="25">
        <f>SUM(E20:E23)</f>
        <v>499.94999999999993</v>
      </c>
    </row>
    <row r="25" spans="1:6">
      <c r="A25" s="20"/>
      <c r="B25" s="20"/>
      <c r="C25" s="20"/>
      <c r="D25" s="21"/>
      <c r="E25" s="22"/>
    </row>
    <row r="26" spans="1:6">
      <c r="A26" s="27" t="s">
        <v>290</v>
      </c>
      <c r="B26" s="28" t="s">
        <v>157</v>
      </c>
      <c r="C26" s="27" t="s">
        <v>66</v>
      </c>
      <c r="D26" s="29">
        <v>7.77</v>
      </c>
      <c r="E26" s="30">
        <v>186.4</v>
      </c>
      <c r="F26" s="31" t="s">
        <v>310</v>
      </c>
    </row>
    <row r="27" spans="1:6">
      <c r="A27" s="27" t="s">
        <v>391</v>
      </c>
      <c r="B27" s="28" t="s">
        <v>157</v>
      </c>
      <c r="C27" s="27" t="s">
        <v>66</v>
      </c>
      <c r="D27" s="29">
        <v>10.4</v>
      </c>
      <c r="E27" s="30">
        <v>249.6</v>
      </c>
      <c r="F27" s="31" t="s">
        <v>310</v>
      </c>
    </row>
    <row r="28" spans="1:6">
      <c r="A28" s="20" t="s">
        <v>175</v>
      </c>
      <c r="B28" s="23" t="s">
        <v>157</v>
      </c>
      <c r="C28" s="20" t="s">
        <v>66</v>
      </c>
      <c r="D28" s="21">
        <v>1.53</v>
      </c>
      <c r="E28" s="22">
        <v>31.05</v>
      </c>
    </row>
    <row r="29" spans="1:6">
      <c r="A29" s="27" t="s">
        <v>228</v>
      </c>
      <c r="B29" s="28" t="s">
        <v>157</v>
      </c>
      <c r="C29" s="27" t="s">
        <v>66</v>
      </c>
      <c r="D29" s="29">
        <v>13.6</v>
      </c>
      <c r="E29" s="30">
        <v>326.39999999999998</v>
      </c>
      <c r="F29" s="31" t="s">
        <v>310</v>
      </c>
    </row>
    <row r="30" spans="1:6">
      <c r="A30" s="27" t="s">
        <v>410</v>
      </c>
      <c r="B30" s="28" t="s">
        <v>157</v>
      </c>
      <c r="C30" s="27" t="s">
        <v>66</v>
      </c>
      <c r="D30" s="29">
        <v>12.95</v>
      </c>
      <c r="E30" s="30">
        <v>271.95</v>
      </c>
      <c r="F30" s="31" t="s">
        <v>310</v>
      </c>
    </row>
    <row r="31" spans="1:6">
      <c r="A31" s="27" t="s">
        <v>75</v>
      </c>
      <c r="B31" s="28" t="s">
        <v>157</v>
      </c>
      <c r="C31" s="27" t="s">
        <v>66</v>
      </c>
      <c r="D31" s="29">
        <v>8.92</v>
      </c>
      <c r="E31" s="30">
        <v>214</v>
      </c>
      <c r="F31" s="31" t="s">
        <v>310</v>
      </c>
    </row>
    <row r="32" spans="1:6">
      <c r="A32" s="27" t="s">
        <v>210</v>
      </c>
      <c r="B32" s="28" t="s">
        <v>157</v>
      </c>
      <c r="C32" s="27" t="s">
        <v>66</v>
      </c>
      <c r="D32" s="29">
        <v>21.75</v>
      </c>
      <c r="E32" s="30">
        <v>538.30999999999995</v>
      </c>
      <c r="F32" s="31" t="s">
        <v>310</v>
      </c>
    </row>
    <row r="33" spans="1:6">
      <c r="A33" s="27" t="s">
        <v>433</v>
      </c>
      <c r="B33" s="28" t="s">
        <v>157</v>
      </c>
      <c r="C33" s="27" t="s">
        <v>66</v>
      </c>
      <c r="D33" s="29">
        <v>18.45</v>
      </c>
      <c r="E33" s="30">
        <v>373.61</v>
      </c>
      <c r="F33" s="31" t="s">
        <v>310</v>
      </c>
    </row>
    <row r="34" spans="1:6">
      <c r="A34" s="27" t="s">
        <v>292</v>
      </c>
      <c r="B34" s="28" t="s">
        <v>157</v>
      </c>
      <c r="C34" s="27" t="s">
        <v>66</v>
      </c>
      <c r="D34" s="91">
        <v>12.45</v>
      </c>
      <c r="E34" s="30">
        <v>298.8</v>
      </c>
      <c r="F34" s="31" t="s">
        <v>310</v>
      </c>
    </row>
    <row r="35" spans="1:6">
      <c r="A35" s="27" t="s">
        <v>429</v>
      </c>
      <c r="B35" s="28" t="s">
        <v>157</v>
      </c>
      <c r="C35" s="27" t="s">
        <v>66</v>
      </c>
      <c r="D35" s="91">
        <v>6.77</v>
      </c>
      <c r="E35" s="30">
        <v>152.25</v>
      </c>
      <c r="F35" s="31" t="s">
        <v>310</v>
      </c>
    </row>
    <row r="36" spans="1:6">
      <c r="A36" s="27" t="s">
        <v>418</v>
      </c>
      <c r="B36" s="28" t="s">
        <v>157</v>
      </c>
      <c r="C36" s="27" t="s">
        <v>66</v>
      </c>
      <c r="D36" s="91">
        <v>18.8</v>
      </c>
      <c r="E36" s="30">
        <v>380.7</v>
      </c>
      <c r="F36" s="31" t="s">
        <v>310</v>
      </c>
    </row>
    <row r="37" spans="1:6">
      <c r="A37" s="27" t="s">
        <v>419</v>
      </c>
      <c r="B37" s="28" t="s">
        <v>157</v>
      </c>
      <c r="C37" s="27" t="s">
        <v>66</v>
      </c>
      <c r="D37" s="91">
        <v>6.57</v>
      </c>
      <c r="E37" s="30">
        <v>132.97999999999999</v>
      </c>
      <c r="F37" s="31" t="s">
        <v>310</v>
      </c>
    </row>
    <row r="38" spans="1:6">
      <c r="A38" s="27" t="s">
        <v>85</v>
      </c>
      <c r="B38" s="28" t="s">
        <v>157</v>
      </c>
      <c r="C38" s="27" t="s">
        <v>66</v>
      </c>
      <c r="D38" s="27">
        <v>9.8800000000000008</v>
      </c>
      <c r="E38" s="30">
        <v>244.61</v>
      </c>
      <c r="F38" s="31" t="s">
        <v>310</v>
      </c>
    </row>
    <row r="39" spans="1:6">
      <c r="A39" s="27" t="s">
        <v>159</v>
      </c>
      <c r="B39" s="28" t="s">
        <v>157</v>
      </c>
      <c r="C39" s="27" t="s">
        <v>66</v>
      </c>
      <c r="D39" s="91">
        <v>24.03</v>
      </c>
      <c r="E39" s="30">
        <v>576.79999999999995</v>
      </c>
      <c r="F39" s="31" t="s">
        <v>310</v>
      </c>
    </row>
    <row r="40" spans="1:6">
      <c r="A40" s="27" t="s">
        <v>88</v>
      </c>
      <c r="B40" s="28" t="s">
        <v>157</v>
      </c>
      <c r="C40" s="27" t="s">
        <v>66</v>
      </c>
      <c r="D40" s="91">
        <v>18.37</v>
      </c>
      <c r="E40" s="30">
        <v>454.58</v>
      </c>
      <c r="F40" s="31" t="s">
        <v>310</v>
      </c>
    </row>
    <row r="41" spans="1:6">
      <c r="A41" s="20" t="s">
        <v>407</v>
      </c>
      <c r="B41" s="23" t="s">
        <v>157</v>
      </c>
      <c r="C41" s="20" t="s">
        <v>66</v>
      </c>
      <c r="D41" s="55">
        <v>3.72</v>
      </c>
      <c r="E41" s="22">
        <v>89.2</v>
      </c>
    </row>
    <row r="42" spans="1:6">
      <c r="A42" s="27" t="s">
        <v>328</v>
      </c>
      <c r="B42" s="28" t="s">
        <v>157</v>
      </c>
      <c r="C42" s="27" t="s">
        <v>66</v>
      </c>
      <c r="D42" s="91">
        <v>24.5</v>
      </c>
      <c r="E42" s="30">
        <v>606.38</v>
      </c>
      <c r="F42" s="31" t="s">
        <v>310</v>
      </c>
    </row>
    <row r="43" spans="1:6">
      <c r="A43" s="20" t="s">
        <v>422</v>
      </c>
      <c r="B43" s="23" t="s">
        <v>157</v>
      </c>
      <c r="C43" s="20" t="s">
        <v>66</v>
      </c>
      <c r="D43" s="21">
        <v>2.82</v>
      </c>
      <c r="E43" s="22">
        <v>80.28</v>
      </c>
    </row>
    <row r="44" spans="1:6">
      <c r="A44" s="27" t="s">
        <v>79</v>
      </c>
      <c r="B44" s="28" t="s">
        <v>157</v>
      </c>
      <c r="C44" s="27" t="s">
        <v>66</v>
      </c>
      <c r="D44" s="27">
        <v>6.47</v>
      </c>
      <c r="E44" s="30">
        <v>155.19999999999999</v>
      </c>
      <c r="F44" s="31" t="s">
        <v>310</v>
      </c>
    </row>
    <row r="45" spans="1:6">
      <c r="A45" s="27" t="s">
        <v>430</v>
      </c>
      <c r="B45" s="28" t="s">
        <v>157</v>
      </c>
      <c r="C45" s="27" t="s">
        <v>66</v>
      </c>
      <c r="D45" s="27">
        <v>4.0999999999999996</v>
      </c>
      <c r="E45" s="30">
        <v>98.4</v>
      </c>
      <c r="F45" s="31" t="s">
        <v>310</v>
      </c>
    </row>
    <row r="46" spans="1:6">
      <c r="A46" s="27" t="s">
        <v>375</v>
      </c>
      <c r="B46" s="28" t="s">
        <v>157</v>
      </c>
      <c r="C46" s="27" t="s">
        <v>66</v>
      </c>
      <c r="D46" s="27">
        <v>9.8699999999999992</v>
      </c>
      <c r="E46" s="30">
        <v>236.8</v>
      </c>
      <c r="F46" s="31" t="s">
        <v>310</v>
      </c>
    </row>
    <row r="47" spans="1:6">
      <c r="A47" s="19" t="s">
        <v>7</v>
      </c>
      <c r="B47" s="20"/>
      <c r="C47" s="20"/>
      <c r="D47" s="26">
        <f>SUM(D26:D46)</f>
        <v>243.72</v>
      </c>
      <c r="E47" s="25">
        <f>SUM(E26:E46)</f>
        <v>5698.2999999999993</v>
      </c>
    </row>
    <row r="48" spans="1:6">
      <c r="A48" s="19"/>
      <c r="B48" s="20"/>
      <c r="C48" s="20"/>
      <c r="D48" s="26"/>
      <c r="E48" s="25"/>
    </row>
    <row r="49" spans="1:6">
      <c r="A49" s="27" t="s">
        <v>163</v>
      </c>
      <c r="B49" s="28" t="s">
        <v>162</v>
      </c>
      <c r="C49" s="27" t="s">
        <v>51</v>
      </c>
      <c r="D49" s="29">
        <v>18.27</v>
      </c>
      <c r="E49" s="30">
        <v>520.6</v>
      </c>
      <c r="F49" s="31" t="s">
        <v>310</v>
      </c>
    </row>
    <row r="50" spans="1:6">
      <c r="A50" s="20" t="s">
        <v>50</v>
      </c>
      <c r="B50" s="23" t="s">
        <v>162</v>
      </c>
      <c r="C50" s="20" t="s">
        <v>51</v>
      </c>
      <c r="D50" s="21">
        <v>2.37</v>
      </c>
      <c r="E50" s="22">
        <v>46.15</v>
      </c>
    </row>
    <row r="51" spans="1:6">
      <c r="A51" s="19" t="s">
        <v>7</v>
      </c>
      <c r="B51" s="23"/>
      <c r="C51" s="20"/>
      <c r="D51" s="26">
        <f>SUM(D49:D50)</f>
        <v>20.64</v>
      </c>
      <c r="E51" s="25">
        <f>SUM(E49:E50)</f>
        <v>566.75</v>
      </c>
    </row>
    <row r="52" spans="1:6">
      <c r="A52" s="19"/>
      <c r="B52" s="20"/>
      <c r="C52" s="20"/>
      <c r="D52" s="26"/>
      <c r="E52" s="25"/>
    </row>
    <row r="53" spans="1:6">
      <c r="A53" s="20" t="s">
        <v>203</v>
      </c>
      <c r="B53" s="23" t="s">
        <v>164</v>
      </c>
      <c r="C53" s="20" t="s">
        <v>60</v>
      </c>
      <c r="D53" s="21">
        <v>2.0299999999999998</v>
      </c>
      <c r="E53" s="22">
        <v>42.7</v>
      </c>
    </row>
    <row r="54" spans="1:6">
      <c r="A54" s="27" t="s">
        <v>411</v>
      </c>
      <c r="B54" s="28" t="s">
        <v>164</v>
      </c>
      <c r="C54" s="27" t="s">
        <v>60</v>
      </c>
      <c r="D54" s="29">
        <v>5.35</v>
      </c>
      <c r="E54" s="30">
        <v>144.44999999999999</v>
      </c>
      <c r="F54" s="31" t="s">
        <v>310</v>
      </c>
    </row>
    <row r="55" spans="1:6">
      <c r="A55" s="20" t="s">
        <v>432</v>
      </c>
      <c r="B55" s="23" t="s">
        <v>164</v>
      </c>
      <c r="C55" s="20" t="s">
        <v>60</v>
      </c>
      <c r="D55" s="21">
        <v>1.47</v>
      </c>
      <c r="E55" s="22">
        <v>30.25</v>
      </c>
    </row>
    <row r="56" spans="1:6">
      <c r="A56" s="27" t="s">
        <v>64</v>
      </c>
      <c r="B56" s="28" t="s">
        <v>164</v>
      </c>
      <c r="C56" s="27" t="s">
        <v>60</v>
      </c>
      <c r="D56" s="29">
        <v>6.17</v>
      </c>
      <c r="E56" s="30">
        <v>129.5</v>
      </c>
      <c r="F56" s="31" t="s">
        <v>310</v>
      </c>
    </row>
    <row r="57" spans="1:6">
      <c r="A57" s="19" t="s">
        <v>7</v>
      </c>
      <c r="B57" s="20"/>
      <c r="C57" s="20"/>
      <c r="D57" s="26">
        <f>SUM(D53:D56)</f>
        <v>15.02</v>
      </c>
      <c r="E57" s="25">
        <f>SUM(E53:E56)</f>
        <v>346.9</v>
      </c>
    </row>
    <row r="58" spans="1:6">
      <c r="A58" s="19"/>
      <c r="B58" s="20"/>
      <c r="C58" s="20"/>
      <c r="D58" s="26"/>
      <c r="E58" s="25"/>
    </row>
    <row r="59" spans="1:6">
      <c r="A59" s="20" t="s">
        <v>412</v>
      </c>
      <c r="B59" s="23" t="s">
        <v>165</v>
      </c>
      <c r="C59" s="20" t="s">
        <v>45</v>
      </c>
      <c r="D59" s="21">
        <v>0.28000000000000003</v>
      </c>
      <c r="E59" s="22">
        <v>6.38</v>
      </c>
    </row>
    <row r="60" spans="1:6">
      <c r="A60" s="19" t="s">
        <v>7</v>
      </c>
      <c r="B60" s="20"/>
      <c r="C60" s="20"/>
      <c r="D60" s="26">
        <f>SUM(D59)</f>
        <v>0.28000000000000003</v>
      </c>
      <c r="E60" s="25">
        <f>SUM(E59)</f>
        <v>6.38</v>
      </c>
    </row>
    <row r="61" spans="1:6">
      <c r="A61" s="19"/>
      <c r="B61" s="20"/>
      <c r="C61" s="20"/>
      <c r="D61" s="26"/>
      <c r="E61" s="25"/>
    </row>
    <row r="62" spans="1:6">
      <c r="A62" s="20" t="s">
        <v>166</v>
      </c>
      <c r="B62" s="23" t="s">
        <v>167</v>
      </c>
      <c r="C62" s="20" t="s">
        <v>54</v>
      </c>
      <c r="D62" s="21">
        <v>2.85</v>
      </c>
      <c r="E62" s="22">
        <v>68.400000000000006</v>
      </c>
    </row>
    <row r="63" spans="1:6">
      <c r="A63" s="20" t="s">
        <v>345</v>
      </c>
      <c r="B63" s="23" t="s">
        <v>167</v>
      </c>
      <c r="C63" s="20" t="s">
        <v>54</v>
      </c>
      <c r="D63" s="21">
        <v>1.03</v>
      </c>
      <c r="E63" s="22">
        <v>26.35</v>
      </c>
    </row>
    <row r="64" spans="1:6">
      <c r="A64" s="20" t="s">
        <v>421</v>
      </c>
      <c r="B64" s="23" t="s">
        <v>167</v>
      </c>
      <c r="C64" s="20" t="s">
        <v>54</v>
      </c>
      <c r="D64" s="21">
        <v>0.17</v>
      </c>
      <c r="E64" s="22">
        <v>4.5</v>
      </c>
    </row>
    <row r="65" spans="1:6">
      <c r="A65" s="19" t="s">
        <v>7</v>
      </c>
      <c r="B65" s="23"/>
      <c r="C65" s="20"/>
      <c r="D65" s="26">
        <f>SUM(D62:D64)</f>
        <v>4.05</v>
      </c>
      <c r="E65" s="25">
        <f>SUM(E62:E64)</f>
        <v>99.25</v>
      </c>
    </row>
    <row r="66" spans="1:6">
      <c r="A66" s="19"/>
      <c r="B66" s="23"/>
      <c r="C66" s="20"/>
      <c r="D66" s="26"/>
      <c r="E66" s="25"/>
    </row>
    <row r="67" spans="1:6">
      <c r="A67" s="20" t="s">
        <v>367</v>
      </c>
      <c r="B67" s="23" t="s">
        <v>171</v>
      </c>
      <c r="C67" s="20" t="s">
        <v>25</v>
      </c>
      <c r="D67" s="21">
        <v>0.97</v>
      </c>
      <c r="E67" s="22">
        <v>26.83</v>
      </c>
    </row>
    <row r="68" spans="1:6">
      <c r="A68" s="20" t="s">
        <v>424</v>
      </c>
      <c r="B68" s="23" t="s">
        <v>171</v>
      </c>
      <c r="C68" s="20" t="s">
        <v>25</v>
      </c>
      <c r="D68" s="21">
        <v>1.22</v>
      </c>
      <c r="E68" s="22">
        <v>42.47</v>
      </c>
    </row>
    <row r="69" spans="1:6">
      <c r="A69" s="20" t="s">
        <v>425</v>
      </c>
      <c r="B69" s="23" t="s">
        <v>171</v>
      </c>
      <c r="C69" s="20" t="s">
        <v>25</v>
      </c>
      <c r="D69" s="21">
        <v>1.02</v>
      </c>
      <c r="E69" s="22">
        <v>29.74</v>
      </c>
    </row>
    <row r="70" spans="1:6">
      <c r="A70" s="20" t="s">
        <v>436</v>
      </c>
      <c r="B70" s="23" t="s">
        <v>171</v>
      </c>
      <c r="C70" s="20" t="s">
        <v>25</v>
      </c>
      <c r="D70" s="21">
        <v>0.53</v>
      </c>
      <c r="E70" s="22">
        <v>16</v>
      </c>
    </row>
    <row r="71" spans="1:6">
      <c r="A71" s="115" t="s">
        <v>368</v>
      </c>
      <c r="B71" s="116" t="s">
        <v>171</v>
      </c>
      <c r="C71" s="115" t="s">
        <v>25</v>
      </c>
      <c r="D71" s="117">
        <v>6.82</v>
      </c>
      <c r="E71" s="118">
        <v>209.61</v>
      </c>
      <c r="F71" s="31" t="s">
        <v>310</v>
      </c>
    </row>
    <row r="72" spans="1:6">
      <c r="A72" s="19" t="s">
        <v>7</v>
      </c>
      <c r="B72" s="20"/>
      <c r="C72" s="20"/>
      <c r="D72" s="26">
        <f>SUM(D67:D71)</f>
        <v>10.56</v>
      </c>
      <c r="E72" s="25">
        <f>SUM(E67:E71)</f>
        <v>324.64999999999998</v>
      </c>
    </row>
    <row r="73" spans="1:6">
      <c r="A73" s="19"/>
      <c r="B73" s="20"/>
      <c r="C73" s="20"/>
      <c r="D73" s="26"/>
      <c r="E73" s="25"/>
    </row>
    <row r="74" spans="1:6">
      <c r="A74" s="20" t="s">
        <v>394</v>
      </c>
      <c r="B74" s="23" t="s">
        <v>172</v>
      </c>
      <c r="C74" s="20" t="s">
        <v>348</v>
      </c>
      <c r="D74" s="21">
        <v>0.35</v>
      </c>
      <c r="E74" s="22">
        <v>12.24</v>
      </c>
    </row>
    <row r="75" spans="1:6">
      <c r="A75" s="20" t="s">
        <v>413</v>
      </c>
      <c r="B75" s="23" t="s">
        <v>172</v>
      </c>
      <c r="C75" s="20" t="s">
        <v>348</v>
      </c>
      <c r="D75" s="21">
        <v>0.38</v>
      </c>
      <c r="E75" s="22">
        <v>13.13</v>
      </c>
    </row>
    <row r="76" spans="1:6">
      <c r="A76" s="19" t="s">
        <v>7</v>
      </c>
      <c r="B76" s="20"/>
      <c r="C76" s="20"/>
      <c r="D76" s="26">
        <f>SUM(D74:D75)</f>
        <v>0.73</v>
      </c>
      <c r="E76" s="25">
        <f>SUM(E74:E75)</f>
        <v>25.37</v>
      </c>
    </row>
    <row r="77" spans="1:6">
      <c r="A77" s="20"/>
      <c r="B77" s="20"/>
      <c r="C77" s="20"/>
      <c r="D77" s="21"/>
      <c r="E77" s="22"/>
    </row>
    <row r="78" spans="1:6">
      <c r="A78" s="20" t="s">
        <v>307</v>
      </c>
      <c r="B78" s="20">
        <v>100035</v>
      </c>
      <c r="C78" s="20" t="s">
        <v>332</v>
      </c>
      <c r="D78" s="21">
        <v>0.12</v>
      </c>
      <c r="E78" s="22">
        <v>4.3899999999999997</v>
      </c>
    </row>
    <row r="79" spans="1:6">
      <c r="A79" s="20" t="s">
        <v>331</v>
      </c>
      <c r="B79" s="20">
        <v>100035</v>
      </c>
      <c r="C79" s="20" t="s">
        <v>332</v>
      </c>
      <c r="D79" s="21">
        <v>0.68</v>
      </c>
      <c r="E79" s="22">
        <v>21.4</v>
      </c>
    </row>
    <row r="80" spans="1:6">
      <c r="A80" s="19" t="s">
        <v>7</v>
      </c>
      <c r="B80" s="20"/>
      <c r="C80" s="20"/>
      <c r="D80" s="26">
        <f>SUM(D78:D79)</f>
        <v>0.8</v>
      </c>
      <c r="E80" s="25">
        <f>SUM(E78:E79)</f>
        <v>25.79</v>
      </c>
    </row>
    <row r="81" spans="1:6">
      <c r="A81" s="19"/>
      <c r="B81" s="20"/>
      <c r="C81" s="20"/>
      <c r="D81" s="21"/>
      <c r="E81" s="22"/>
    </row>
    <row r="82" spans="1:6">
      <c r="A82" s="27" t="s">
        <v>37</v>
      </c>
      <c r="B82" s="27">
        <v>100051</v>
      </c>
      <c r="C82" s="27" t="s">
        <v>34</v>
      </c>
      <c r="D82" s="29">
        <v>24.28</v>
      </c>
      <c r="E82" s="30">
        <v>601.01</v>
      </c>
      <c r="F82" s="31" t="s">
        <v>310</v>
      </c>
    </row>
    <row r="83" spans="1:6">
      <c r="A83" s="20" t="s">
        <v>213</v>
      </c>
      <c r="B83" s="20">
        <v>100051</v>
      </c>
      <c r="C83" s="20" t="s">
        <v>34</v>
      </c>
      <c r="D83" s="21">
        <v>1.27</v>
      </c>
      <c r="E83" s="22">
        <v>27.55</v>
      </c>
    </row>
    <row r="84" spans="1:6">
      <c r="A84" s="19" t="s">
        <v>7</v>
      </c>
      <c r="B84" s="20"/>
      <c r="C84" s="20"/>
      <c r="D84" s="26">
        <f>SUM(D82:D83)</f>
        <v>25.55</v>
      </c>
      <c r="E84" s="25">
        <f>SUM(E82:E83)</f>
        <v>628.55999999999995</v>
      </c>
    </row>
    <row r="85" spans="1:6">
      <c r="A85" s="19"/>
      <c r="B85" s="20"/>
      <c r="C85" s="20"/>
      <c r="D85" s="26"/>
      <c r="E85" s="25"/>
    </row>
    <row r="86" spans="1:6">
      <c r="A86" s="20" t="s">
        <v>426</v>
      </c>
      <c r="B86" s="20">
        <v>290020</v>
      </c>
      <c r="C86" s="20" t="s">
        <v>146</v>
      </c>
      <c r="D86" s="21">
        <v>2.72</v>
      </c>
      <c r="E86" s="22">
        <v>88.14</v>
      </c>
    </row>
    <row r="87" spans="1:6">
      <c r="A87" s="19" t="s">
        <v>7</v>
      </c>
      <c r="B87" s="20"/>
      <c r="C87" s="20"/>
      <c r="D87" s="26">
        <f>SUM(D86)</f>
        <v>2.72</v>
      </c>
      <c r="E87" s="25">
        <f>SUM(E86)</f>
        <v>88.14</v>
      </c>
    </row>
    <row r="88" spans="1:6">
      <c r="A88" s="19"/>
      <c r="B88" s="20"/>
      <c r="C88" s="20"/>
      <c r="D88" s="26"/>
      <c r="E88" s="25"/>
    </row>
    <row r="89" spans="1:6">
      <c r="A89" s="20" t="s">
        <v>369</v>
      </c>
      <c r="B89" s="20">
        <v>450044</v>
      </c>
      <c r="C89" s="20" t="s">
        <v>134</v>
      </c>
      <c r="D89" s="21">
        <v>0.27</v>
      </c>
      <c r="E89" s="22">
        <v>5.78</v>
      </c>
    </row>
    <row r="90" spans="1:6">
      <c r="A90" s="19" t="s">
        <v>7</v>
      </c>
      <c r="B90" s="20"/>
      <c r="C90" s="20"/>
      <c r="D90" s="26">
        <f>SUM(D89)</f>
        <v>0.27</v>
      </c>
      <c r="E90" s="25">
        <f>SUM(E89)</f>
        <v>5.78</v>
      </c>
    </row>
    <row r="91" spans="1:6">
      <c r="A91" s="19"/>
      <c r="B91" s="20"/>
      <c r="C91" s="20"/>
      <c r="D91" s="26"/>
      <c r="E91" s="25"/>
    </row>
    <row r="92" spans="1:6">
      <c r="A92" s="20" t="s">
        <v>346</v>
      </c>
      <c r="B92" s="20">
        <v>450046</v>
      </c>
      <c r="C92" s="20" t="s">
        <v>128</v>
      </c>
      <c r="D92" s="21">
        <v>0.2</v>
      </c>
      <c r="E92" s="22">
        <v>6</v>
      </c>
    </row>
    <row r="93" spans="1:6">
      <c r="A93" s="19"/>
      <c r="B93" s="20"/>
      <c r="C93" s="20"/>
      <c r="D93" s="26">
        <f>SUM(D92)</f>
        <v>0.2</v>
      </c>
      <c r="E93" s="25">
        <f>SUM(E92)</f>
        <v>6</v>
      </c>
    </row>
    <row r="94" spans="1:6">
      <c r="A94" s="19"/>
      <c r="B94" s="20"/>
      <c r="C94" s="20"/>
      <c r="D94" s="26"/>
      <c r="E94" s="25"/>
    </row>
    <row r="95" spans="1:6">
      <c r="A95" s="20" t="s">
        <v>427</v>
      </c>
      <c r="B95" s="20">
        <v>450051</v>
      </c>
      <c r="C95" s="20" t="s">
        <v>104</v>
      </c>
      <c r="D95" s="21">
        <v>1.1299999999999999</v>
      </c>
      <c r="E95" s="22">
        <v>22.1</v>
      </c>
    </row>
    <row r="96" spans="1:6">
      <c r="A96" s="20" t="s">
        <v>437</v>
      </c>
      <c r="B96" s="20">
        <v>450051</v>
      </c>
      <c r="C96" s="20" t="s">
        <v>104</v>
      </c>
      <c r="D96" s="21">
        <v>0.12</v>
      </c>
      <c r="E96" s="22">
        <v>1.97</v>
      </c>
    </row>
    <row r="97" spans="1:6">
      <c r="A97" s="19"/>
      <c r="B97" s="20"/>
      <c r="C97" s="20"/>
      <c r="D97" s="26">
        <f>SUM(D95:D96)</f>
        <v>1.25</v>
      </c>
      <c r="E97" s="25">
        <f>SUM(E95:E96)</f>
        <v>24.07</v>
      </c>
    </row>
    <row r="98" spans="1:6">
      <c r="A98" s="19"/>
      <c r="B98" s="20"/>
      <c r="C98" s="20"/>
      <c r="D98" s="26"/>
      <c r="E98" s="25"/>
    </row>
    <row r="99" spans="1:6">
      <c r="A99" s="20" t="s">
        <v>434</v>
      </c>
      <c r="B99" s="20">
        <v>400020</v>
      </c>
      <c r="C99" s="20" t="s">
        <v>98</v>
      </c>
      <c r="D99" s="21">
        <v>1.47</v>
      </c>
      <c r="E99" s="22">
        <v>45.78</v>
      </c>
    </row>
    <row r="100" spans="1:6">
      <c r="A100" s="19" t="s">
        <v>7</v>
      </c>
      <c r="B100" s="20"/>
      <c r="C100" s="20"/>
      <c r="D100" s="26">
        <f>SUM(D99)</f>
        <v>1.47</v>
      </c>
      <c r="E100" s="25">
        <f>SUM(E99)</f>
        <v>45.78</v>
      </c>
    </row>
    <row r="101" spans="1:6">
      <c r="A101" s="19"/>
      <c r="B101" s="20"/>
      <c r="C101" s="20"/>
      <c r="D101" s="26"/>
      <c r="E101" s="25"/>
    </row>
    <row r="102" spans="1:6">
      <c r="A102" s="32" t="s">
        <v>39</v>
      </c>
      <c r="B102" s="32">
        <v>550051</v>
      </c>
      <c r="C102" s="32" t="s">
        <v>296</v>
      </c>
      <c r="D102" s="33">
        <v>7.18</v>
      </c>
      <c r="E102" s="34">
        <v>167.01</v>
      </c>
      <c r="F102" s="31" t="s">
        <v>438</v>
      </c>
    </row>
    <row r="103" spans="1:6">
      <c r="A103" s="19" t="s">
        <v>7</v>
      </c>
      <c r="B103" s="20"/>
      <c r="C103" s="20"/>
      <c r="D103" s="26">
        <f>SUM(D102)</f>
        <v>7.18</v>
      </c>
      <c r="E103" s="25">
        <f>SUM(E102)</f>
        <v>167.01</v>
      </c>
    </row>
    <row r="104" spans="1:6">
      <c r="A104" s="19"/>
      <c r="B104" s="20"/>
      <c r="C104" s="20"/>
      <c r="D104" s="26"/>
      <c r="E104" s="25"/>
    </row>
    <row r="105" spans="1:6">
      <c r="A105" s="32" t="s">
        <v>41</v>
      </c>
      <c r="B105" s="32">
        <v>550052</v>
      </c>
      <c r="C105" s="32" t="s">
        <v>284</v>
      </c>
      <c r="D105" s="33">
        <v>18.68</v>
      </c>
      <c r="E105" s="34">
        <v>462.41</v>
      </c>
      <c r="F105" s="31" t="s">
        <v>438</v>
      </c>
    </row>
    <row r="106" spans="1:6">
      <c r="A106" s="19" t="s">
        <v>7</v>
      </c>
      <c r="B106" s="20"/>
      <c r="C106" s="20"/>
      <c r="D106" s="26">
        <f>SUM(D105)</f>
        <v>18.68</v>
      </c>
      <c r="E106" s="25">
        <f>SUM(E105)</f>
        <v>462.41</v>
      </c>
    </row>
    <row r="107" spans="1:6">
      <c r="A107" s="19"/>
      <c r="B107" s="20"/>
      <c r="C107" s="20"/>
      <c r="D107" s="26"/>
      <c r="E107" s="25"/>
    </row>
    <row r="108" spans="1:6">
      <c r="A108" s="19" t="s">
        <v>194</v>
      </c>
      <c r="B108" s="20"/>
      <c r="C108" s="20"/>
      <c r="D108" s="26">
        <f>D106+D103+D100+D97+D93+D90+D87+D84+D80+D76+D72+D65+D60+D57+D51+D47+D24+D18+D14+D10+D7</f>
        <v>397.17</v>
      </c>
      <c r="E108" s="25">
        <f>E106+E103+E100+E97+E93+E90+E87+E84+E80+E76+E72+E65+E60+E57+E51+E47+E24+E18+E14+E10+E7</f>
        <v>9775.33</v>
      </c>
    </row>
    <row r="109" spans="1:6">
      <c r="A109" s="20"/>
      <c r="B109" s="20"/>
      <c r="C109" s="20"/>
      <c r="D109" s="21"/>
      <c r="E109" s="22"/>
    </row>
    <row r="110" spans="1:6">
      <c r="A110" s="19"/>
      <c r="B110" s="20"/>
      <c r="C110" s="20"/>
      <c r="D110" s="26"/>
      <c r="E110" s="25"/>
    </row>
    <row r="111" spans="1:6">
      <c r="A111" s="20"/>
      <c r="B111" s="20"/>
      <c r="C111" s="20"/>
      <c r="D111" s="21"/>
      <c r="E111" s="22"/>
    </row>
    <row r="112" spans="1:6">
      <c r="A112" s="20"/>
      <c r="B112" s="20"/>
      <c r="C112" s="20"/>
      <c r="D112" s="21"/>
      <c r="E112" s="22"/>
    </row>
    <row r="113" spans="1:5">
      <c r="A113" s="19"/>
      <c r="B113" s="20"/>
      <c r="C113" s="20"/>
      <c r="D113" s="26"/>
      <c r="E113" s="25"/>
    </row>
    <row r="114" spans="1:5">
      <c r="A114" s="19"/>
      <c r="B114" s="20"/>
      <c r="C114" s="20"/>
      <c r="D114" s="26"/>
      <c r="E114" s="25"/>
    </row>
    <row r="115" spans="1:5">
      <c r="A115" s="20"/>
      <c r="B115" s="20"/>
      <c r="C115" s="20"/>
      <c r="D115" s="21"/>
      <c r="E115" s="22"/>
    </row>
    <row r="116" spans="1:5">
      <c r="A116" s="19"/>
      <c r="B116" s="20"/>
      <c r="C116" s="20"/>
      <c r="D116" s="26"/>
      <c r="E116" s="25"/>
    </row>
    <row r="117" spans="1:5">
      <c r="A117" s="19"/>
      <c r="B117" s="20"/>
      <c r="C117" s="20"/>
      <c r="D117" s="26"/>
      <c r="E117" s="25"/>
    </row>
  </sheetData>
  <mergeCells count="1">
    <mergeCell ref="G4:K4"/>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25"/>
  <sheetViews>
    <sheetView workbookViewId="0">
      <selection sqref="A1:E15"/>
    </sheetView>
  </sheetViews>
  <sheetFormatPr defaultRowHeight="12.75"/>
  <cols>
    <col min="1" max="1" width="10" bestFit="1" customWidth="1"/>
    <col min="2" max="2" width="11.28515625" bestFit="1" customWidth="1"/>
    <col min="3" max="4" width="17.28515625" bestFit="1" customWidth="1"/>
    <col min="5" max="5" width="12.28515625" bestFit="1" customWidth="1"/>
  </cols>
  <sheetData>
    <row r="1" spans="1:5">
      <c r="A1" s="35" t="s">
        <v>349</v>
      </c>
      <c r="B1" s="35" t="s">
        <v>350</v>
      </c>
      <c r="C1" s="35" t="s">
        <v>439</v>
      </c>
      <c r="D1" s="35" t="s">
        <v>351</v>
      </c>
      <c r="E1" s="35" t="s">
        <v>353</v>
      </c>
    </row>
    <row r="2" spans="1:5">
      <c r="A2" s="18" t="s">
        <v>354</v>
      </c>
      <c r="B2" s="18">
        <v>252.61</v>
      </c>
      <c r="C2" s="36">
        <v>5611.1</v>
      </c>
      <c r="D2" s="36">
        <v>10342.49</v>
      </c>
      <c r="E2" s="54">
        <f t="shared" ref="E2:E13" si="0">D2-C2</f>
        <v>4731.3899999999994</v>
      </c>
    </row>
    <row r="3" spans="1:5">
      <c r="A3" s="18" t="s">
        <v>355</v>
      </c>
      <c r="B3" s="18">
        <v>120.08</v>
      </c>
      <c r="C3" s="36">
        <v>2760.84</v>
      </c>
      <c r="D3" s="36">
        <v>2664.79</v>
      </c>
      <c r="E3" s="54">
        <f t="shared" si="0"/>
        <v>-96.050000000000182</v>
      </c>
    </row>
    <row r="4" spans="1:5">
      <c r="A4" s="18" t="s">
        <v>356</v>
      </c>
      <c r="B4" s="18">
        <v>126.27</v>
      </c>
      <c r="C4" s="36">
        <v>2958.47</v>
      </c>
      <c r="D4" s="36">
        <v>6444.5</v>
      </c>
      <c r="E4" s="54">
        <f t="shared" si="0"/>
        <v>3486.03</v>
      </c>
    </row>
    <row r="5" spans="1:5">
      <c r="A5" s="18" t="s">
        <v>357</v>
      </c>
      <c r="B5" s="18">
        <v>272.95</v>
      </c>
      <c r="C5" s="36">
        <v>6419.23</v>
      </c>
      <c r="D5" s="53">
        <v>7481.65</v>
      </c>
      <c r="E5" s="54">
        <f t="shared" si="0"/>
        <v>1062.42</v>
      </c>
    </row>
    <row r="6" spans="1:5">
      <c r="A6" s="18" t="s">
        <v>358</v>
      </c>
      <c r="B6" s="18">
        <v>263.12</v>
      </c>
      <c r="C6" s="36">
        <v>6235.17</v>
      </c>
      <c r="D6" s="53">
        <v>3487.93</v>
      </c>
      <c r="E6" s="54">
        <f t="shared" si="0"/>
        <v>-2747.2400000000002</v>
      </c>
    </row>
    <row r="7" spans="1:5">
      <c r="A7" s="18" t="s">
        <v>359</v>
      </c>
      <c r="B7" s="18">
        <v>510.14</v>
      </c>
      <c r="C7" s="36">
        <v>11238.62</v>
      </c>
      <c r="D7" s="53">
        <v>8425.99</v>
      </c>
      <c r="E7" s="54">
        <f t="shared" si="0"/>
        <v>-2812.630000000001</v>
      </c>
    </row>
    <row r="8" spans="1:5">
      <c r="A8" s="18" t="s">
        <v>360</v>
      </c>
      <c r="B8" s="18">
        <v>489.6</v>
      </c>
      <c r="C8" s="36">
        <v>11419.35</v>
      </c>
      <c r="D8" s="53">
        <v>10509.01</v>
      </c>
      <c r="E8" s="54">
        <f t="shared" si="0"/>
        <v>-910.34000000000015</v>
      </c>
    </row>
    <row r="9" spans="1:5">
      <c r="A9" s="18" t="s">
        <v>361</v>
      </c>
      <c r="B9" s="18">
        <v>572.54999999999995</v>
      </c>
      <c r="C9" s="36">
        <v>13765.55</v>
      </c>
      <c r="D9" s="53">
        <v>9162.42</v>
      </c>
      <c r="E9" s="54">
        <f t="shared" si="0"/>
        <v>-4603.1299999999992</v>
      </c>
    </row>
    <row r="10" spans="1:5">
      <c r="A10" s="18" t="s">
        <v>362</v>
      </c>
      <c r="B10" s="18">
        <v>489.78</v>
      </c>
      <c r="C10" s="36">
        <v>11740</v>
      </c>
      <c r="D10" s="53">
        <v>10080.98</v>
      </c>
      <c r="E10" s="54">
        <f t="shared" si="0"/>
        <v>-1659.0200000000004</v>
      </c>
    </row>
    <row r="11" spans="1:5">
      <c r="A11" s="18" t="s">
        <v>363</v>
      </c>
      <c r="B11" s="18">
        <v>607.62</v>
      </c>
      <c r="C11" s="36">
        <v>14697.419999999998</v>
      </c>
      <c r="D11" s="53">
        <v>8844.92</v>
      </c>
      <c r="E11" s="54">
        <f t="shared" si="0"/>
        <v>-5852.4999999999982</v>
      </c>
    </row>
    <row r="12" spans="1:5">
      <c r="A12" s="18" t="s">
        <v>364</v>
      </c>
      <c r="B12" s="18">
        <v>527.54</v>
      </c>
      <c r="C12" s="36">
        <v>13038.249999999998</v>
      </c>
      <c r="D12" s="53">
        <v>7439.33</v>
      </c>
      <c r="E12" s="54">
        <f t="shared" si="0"/>
        <v>-5598.9199999999983</v>
      </c>
    </row>
    <row r="13" spans="1:5" ht="15">
      <c r="A13" s="18" t="s">
        <v>365</v>
      </c>
      <c r="B13" s="18">
        <v>397.17</v>
      </c>
      <c r="C13" s="36">
        <v>9775.33</v>
      </c>
      <c r="D13" s="64">
        <v>2662.87</v>
      </c>
      <c r="E13" s="54">
        <f t="shared" si="0"/>
        <v>-7112.46</v>
      </c>
    </row>
    <row r="14" spans="1:5">
      <c r="B14" s="18"/>
      <c r="C14" s="37">
        <f>SUM(C2:C13)</f>
        <v>109659.33</v>
      </c>
      <c r="D14" s="67">
        <f>SUM(D2:D13)</f>
        <v>87546.87999999999</v>
      </c>
      <c r="E14" s="121">
        <f>SUM(E2:E13)</f>
        <v>-22112.449999999997</v>
      </c>
    </row>
    <row r="25" spans="4:5">
      <c r="D25" s="26"/>
      <c r="E25" s="25"/>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K117"/>
  <sheetViews>
    <sheetView topLeftCell="A61" workbookViewId="0">
      <selection activeCell="F54" sqref="F54"/>
    </sheetView>
  </sheetViews>
  <sheetFormatPr defaultRowHeight="12.75"/>
  <cols>
    <col min="1" max="1" width="19.42578125" style="18" bestFit="1" customWidth="1"/>
    <col min="2" max="2" width="23.140625" style="18" bestFit="1" customWidth="1"/>
    <col min="3" max="3" width="33.85546875" style="18" bestFit="1" customWidth="1"/>
    <col min="4" max="4" width="20.42578125" style="18" bestFit="1" customWidth="1"/>
    <col min="5" max="5" width="23.28515625" style="18" bestFit="1" customWidth="1"/>
    <col min="6" max="6" width="13.85546875" style="18" bestFit="1" customWidth="1"/>
    <col min="7" max="7" width="11.5703125" style="18" customWidth="1"/>
    <col min="8" max="8" width="17.28515625" style="18" bestFit="1" customWidth="1"/>
    <col min="9" max="9" width="10" style="18" bestFit="1" customWidth="1"/>
    <col min="10" max="10" width="11.140625" style="18" bestFit="1" customWidth="1"/>
    <col min="11" max="11" width="13.7109375" style="18" customWidth="1"/>
    <col min="12" max="16384" width="9.140625" style="18"/>
  </cols>
  <sheetData>
    <row r="1" spans="1:11">
      <c r="A1" s="122" t="s">
        <v>147</v>
      </c>
      <c r="B1" s="122" t="s">
        <v>148</v>
      </c>
      <c r="C1" s="122" t="s">
        <v>149</v>
      </c>
      <c r="D1" s="122" t="s">
        <v>150</v>
      </c>
      <c r="E1" s="122" t="s">
        <v>151</v>
      </c>
      <c r="F1" s="11" t="s">
        <v>440</v>
      </c>
      <c r="G1" s="38" t="s">
        <v>259</v>
      </c>
      <c r="H1" s="88" t="s">
        <v>334</v>
      </c>
      <c r="I1" s="40" t="s">
        <v>260</v>
      </c>
      <c r="J1" s="119" t="s">
        <v>262</v>
      </c>
      <c r="K1" s="39" t="s">
        <v>261</v>
      </c>
    </row>
    <row r="2" spans="1:11">
      <c r="A2" s="124" t="s">
        <v>366</v>
      </c>
      <c r="B2" s="125" t="s">
        <v>152</v>
      </c>
      <c r="C2" s="124" t="s">
        <v>15</v>
      </c>
      <c r="D2" s="126">
        <v>3.2</v>
      </c>
      <c r="E2" s="134">
        <v>83.23</v>
      </c>
      <c r="F2" s="20"/>
      <c r="G2" s="13">
        <f>E20+E25+E26+E27+E28+E29+E30+E31+E32+E33+E34+E35+E36+E38+E39+E41+E42+E45+E48+E51+E52+E54</f>
        <v>6796.78</v>
      </c>
      <c r="H2" s="89">
        <f>E4+E5+E6+E85</f>
        <v>1455.3600000000001</v>
      </c>
      <c r="I2" s="66">
        <f>E13+E78</f>
        <v>335.02</v>
      </c>
      <c r="J2" s="120">
        <v>0</v>
      </c>
      <c r="K2" s="16">
        <f>E98</f>
        <v>129.11000000000001</v>
      </c>
    </row>
    <row r="3" spans="1:11">
      <c r="A3" s="124" t="s">
        <v>389</v>
      </c>
      <c r="B3" s="125" t="s">
        <v>152</v>
      </c>
      <c r="C3" s="124" t="s">
        <v>15</v>
      </c>
      <c r="D3" s="126">
        <v>0.25</v>
      </c>
      <c r="E3" s="134">
        <v>7.21</v>
      </c>
    </row>
    <row r="4" spans="1:11">
      <c r="A4" s="136" t="s">
        <v>18</v>
      </c>
      <c r="B4" s="136" t="s">
        <v>152</v>
      </c>
      <c r="C4" s="136" t="s">
        <v>15</v>
      </c>
      <c r="D4" s="137">
        <v>19.100000000000001</v>
      </c>
      <c r="E4" s="138">
        <v>531.74</v>
      </c>
      <c r="F4" s="31" t="s">
        <v>310</v>
      </c>
      <c r="G4" s="305" t="s">
        <v>263</v>
      </c>
      <c r="H4" s="305"/>
      <c r="I4" s="305"/>
      <c r="J4" s="305"/>
      <c r="K4" s="305"/>
    </row>
    <row r="5" spans="1:11">
      <c r="A5" s="136" t="s">
        <v>377</v>
      </c>
      <c r="B5" s="139" t="s">
        <v>152</v>
      </c>
      <c r="C5" s="136" t="s">
        <v>15</v>
      </c>
      <c r="D5" s="137">
        <v>7.47</v>
      </c>
      <c r="E5" s="138">
        <v>244.83</v>
      </c>
      <c r="F5" s="31" t="s">
        <v>310</v>
      </c>
    </row>
    <row r="6" spans="1:11">
      <c r="A6" s="136" t="s">
        <v>397</v>
      </c>
      <c r="B6" s="139" t="s">
        <v>152</v>
      </c>
      <c r="C6" s="136" t="s">
        <v>15</v>
      </c>
      <c r="D6" s="137">
        <v>17.55</v>
      </c>
      <c r="E6" s="138">
        <v>544.14</v>
      </c>
      <c r="F6" s="31" t="s">
        <v>310</v>
      </c>
    </row>
    <row r="7" spans="1:11">
      <c r="A7" s="127" t="s">
        <v>7</v>
      </c>
      <c r="B7" s="124"/>
      <c r="C7" s="124"/>
      <c r="D7" s="128">
        <f>SUM(D2:D6)</f>
        <v>47.57</v>
      </c>
      <c r="E7" s="128">
        <f>SUM(E2:E6)</f>
        <v>1411.15</v>
      </c>
    </row>
    <row r="8" spans="1:11">
      <c r="A8" s="127"/>
      <c r="B8" s="124"/>
      <c r="C8" s="124"/>
      <c r="D8" s="128"/>
      <c r="E8" s="135"/>
    </row>
    <row r="9" spans="1:11">
      <c r="A9" s="124" t="s">
        <v>390</v>
      </c>
      <c r="B9" s="125" t="s">
        <v>217</v>
      </c>
      <c r="C9" s="124" t="s">
        <v>218</v>
      </c>
      <c r="D9" s="130">
        <v>1.75</v>
      </c>
      <c r="E9" s="134">
        <v>47.25</v>
      </c>
    </row>
    <row r="10" spans="1:11">
      <c r="A10" s="127" t="s">
        <v>7</v>
      </c>
      <c r="B10" s="127"/>
      <c r="C10" s="124"/>
      <c r="D10" s="128">
        <v>1.75</v>
      </c>
      <c r="E10" s="135">
        <v>47.25</v>
      </c>
    </row>
    <row r="11" spans="1:11">
      <c r="A11" s="127"/>
      <c r="B11" s="124"/>
      <c r="C11" s="124"/>
      <c r="D11" s="131"/>
      <c r="E11" s="135"/>
    </row>
    <row r="12" spans="1:11">
      <c r="A12" s="124" t="s">
        <v>20</v>
      </c>
      <c r="B12" s="125" t="s">
        <v>154</v>
      </c>
      <c r="C12" s="124" t="s">
        <v>23</v>
      </c>
      <c r="D12" s="126">
        <v>1.57</v>
      </c>
      <c r="E12" s="134">
        <v>46.18</v>
      </c>
    </row>
    <row r="13" spans="1:11">
      <c r="A13" s="144" t="s">
        <v>398</v>
      </c>
      <c r="B13" s="145" t="s">
        <v>154</v>
      </c>
      <c r="C13" s="144" t="s">
        <v>23</v>
      </c>
      <c r="D13" s="146">
        <v>4.45</v>
      </c>
      <c r="E13" s="147">
        <v>128.36000000000001</v>
      </c>
    </row>
    <row r="14" spans="1:11">
      <c r="A14" s="127" t="s">
        <v>7</v>
      </c>
      <c r="B14" s="124"/>
      <c r="C14" s="124"/>
      <c r="D14" s="131">
        <f>SUM(D12:D13)</f>
        <v>6.0200000000000005</v>
      </c>
      <c r="E14" s="135">
        <f>SUM(E12:E13)</f>
        <v>174.54000000000002</v>
      </c>
    </row>
    <row r="15" spans="1:11">
      <c r="A15" s="127"/>
      <c r="B15" s="125"/>
      <c r="C15" s="124"/>
      <c r="D15" s="131"/>
      <c r="E15" s="135"/>
    </row>
    <row r="16" spans="1:11">
      <c r="A16" s="124" t="s">
        <v>195</v>
      </c>
      <c r="B16" s="125" t="s">
        <v>155</v>
      </c>
      <c r="C16" s="124" t="s">
        <v>196</v>
      </c>
      <c r="D16" s="126">
        <v>1.32</v>
      </c>
      <c r="E16" s="134">
        <v>43.69</v>
      </c>
    </row>
    <row r="17" spans="1:6">
      <c r="A17" s="124" t="s">
        <v>415</v>
      </c>
      <c r="B17" s="125" t="s">
        <v>155</v>
      </c>
      <c r="C17" s="124" t="s">
        <v>196</v>
      </c>
      <c r="D17" s="126">
        <v>0.75</v>
      </c>
      <c r="E17" s="134">
        <v>24.33</v>
      </c>
    </row>
    <row r="18" spans="1:6">
      <c r="A18" s="127" t="s">
        <v>7</v>
      </c>
      <c r="B18" s="124"/>
      <c r="C18" s="124"/>
      <c r="D18" s="131">
        <f>SUM(D16:D17)</f>
        <v>2.0700000000000003</v>
      </c>
      <c r="E18" s="135">
        <f>SUM(E16:E17)</f>
        <v>68.02</v>
      </c>
    </row>
    <row r="19" spans="1:6">
      <c r="A19" s="127"/>
      <c r="B19" s="124"/>
      <c r="C19" s="124"/>
      <c r="D19" s="131"/>
      <c r="E19" s="135"/>
    </row>
    <row r="20" spans="1:6">
      <c r="A20" s="140" t="s">
        <v>335</v>
      </c>
      <c r="B20" s="141" t="s">
        <v>156</v>
      </c>
      <c r="C20" s="140" t="s">
        <v>91</v>
      </c>
      <c r="D20" s="142">
        <v>13.3</v>
      </c>
      <c r="E20" s="143">
        <v>399</v>
      </c>
      <c r="F20" s="18" t="s">
        <v>310</v>
      </c>
    </row>
    <row r="21" spans="1:6">
      <c r="A21" s="124" t="s">
        <v>92</v>
      </c>
      <c r="B21" s="125" t="s">
        <v>156</v>
      </c>
      <c r="C21" s="124" t="s">
        <v>91</v>
      </c>
      <c r="D21" s="126">
        <v>0.15</v>
      </c>
      <c r="E21" s="134">
        <v>4.13</v>
      </c>
    </row>
    <row r="22" spans="1:6">
      <c r="A22" s="123" t="s">
        <v>417</v>
      </c>
      <c r="B22" s="132" t="s">
        <v>156</v>
      </c>
      <c r="C22" s="123" t="s">
        <v>91</v>
      </c>
      <c r="D22" s="126">
        <v>3.38</v>
      </c>
      <c r="E22" s="134">
        <v>83.74</v>
      </c>
    </row>
    <row r="23" spans="1:6">
      <c r="A23" s="127" t="s">
        <v>7</v>
      </c>
      <c r="B23" s="124"/>
      <c r="C23" s="124"/>
      <c r="D23" s="131">
        <f>SUM(D20:D22)</f>
        <v>16.830000000000002</v>
      </c>
      <c r="E23" s="135">
        <f>SUM(E20:E22)</f>
        <v>486.87</v>
      </c>
    </row>
    <row r="24" spans="1:6">
      <c r="A24" s="124"/>
      <c r="B24" s="124"/>
      <c r="C24" s="124"/>
      <c r="D24" s="126"/>
      <c r="E24" s="134"/>
    </row>
    <row r="25" spans="1:6">
      <c r="A25" s="140" t="s">
        <v>441</v>
      </c>
      <c r="B25" s="141" t="s">
        <v>157</v>
      </c>
      <c r="C25" s="140" t="s">
        <v>66</v>
      </c>
      <c r="D25" s="142">
        <v>4.53</v>
      </c>
      <c r="E25" s="143">
        <v>115.6</v>
      </c>
      <c r="F25" s="18" t="s">
        <v>310</v>
      </c>
    </row>
    <row r="26" spans="1:6">
      <c r="A26" s="140" t="s">
        <v>290</v>
      </c>
      <c r="B26" s="141" t="s">
        <v>157</v>
      </c>
      <c r="C26" s="140" t="s">
        <v>66</v>
      </c>
      <c r="D26" s="142">
        <v>4.13</v>
      </c>
      <c r="E26" s="143">
        <v>99.2</v>
      </c>
      <c r="F26" s="18" t="s">
        <v>310</v>
      </c>
    </row>
    <row r="27" spans="1:6">
      <c r="A27" s="140" t="s">
        <v>391</v>
      </c>
      <c r="B27" s="141" t="s">
        <v>157</v>
      </c>
      <c r="C27" s="140" t="s">
        <v>66</v>
      </c>
      <c r="D27" s="142">
        <v>17.399999999999999</v>
      </c>
      <c r="E27" s="143">
        <v>417.6</v>
      </c>
      <c r="F27" s="18" t="s">
        <v>310</v>
      </c>
    </row>
    <row r="28" spans="1:6">
      <c r="A28" s="140" t="s">
        <v>228</v>
      </c>
      <c r="B28" s="141" t="s">
        <v>157</v>
      </c>
      <c r="C28" s="140" t="s">
        <v>66</v>
      </c>
      <c r="D28" s="142">
        <v>11.35</v>
      </c>
      <c r="E28" s="143">
        <v>272.39999999999998</v>
      </c>
      <c r="F28" s="18" t="s">
        <v>310</v>
      </c>
    </row>
    <row r="29" spans="1:6">
      <c r="A29" s="140" t="s">
        <v>410</v>
      </c>
      <c r="B29" s="141" t="s">
        <v>157</v>
      </c>
      <c r="C29" s="140" t="s">
        <v>66</v>
      </c>
      <c r="D29" s="142">
        <v>10.32</v>
      </c>
      <c r="E29" s="143">
        <v>216.65</v>
      </c>
      <c r="F29" s="18" t="s">
        <v>310</v>
      </c>
    </row>
    <row r="30" spans="1:6">
      <c r="A30" s="140" t="s">
        <v>75</v>
      </c>
      <c r="B30" s="141" t="s">
        <v>157</v>
      </c>
      <c r="C30" s="140" t="s">
        <v>66</v>
      </c>
      <c r="D30" s="142">
        <v>4.17</v>
      </c>
      <c r="E30" s="143">
        <v>100</v>
      </c>
      <c r="F30" s="18" t="s">
        <v>310</v>
      </c>
    </row>
    <row r="31" spans="1:6">
      <c r="A31" s="140" t="s">
        <v>210</v>
      </c>
      <c r="B31" s="141" t="s">
        <v>157</v>
      </c>
      <c r="C31" s="140" t="s">
        <v>66</v>
      </c>
      <c r="D31" s="142">
        <v>14.55</v>
      </c>
      <c r="E31" s="143">
        <v>360.11</v>
      </c>
      <c r="F31" s="18" t="s">
        <v>310</v>
      </c>
    </row>
    <row r="32" spans="1:6">
      <c r="A32" s="140" t="s">
        <v>267</v>
      </c>
      <c r="B32" s="141" t="s">
        <v>157</v>
      </c>
      <c r="C32" s="140" t="s">
        <v>66</v>
      </c>
      <c r="D32" s="142">
        <v>18.97</v>
      </c>
      <c r="E32" s="143">
        <v>469.43</v>
      </c>
      <c r="F32" s="18" t="s">
        <v>310</v>
      </c>
    </row>
    <row r="33" spans="1:6">
      <c r="A33" s="140" t="s">
        <v>86</v>
      </c>
      <c r="B33" s="141" t="s">
        <v>157</v>
      </c>
      <c r="C33" s="140" t="s">
        <v>66</v>
      </c>
      <c r="D33" s="142">
        <v>8.9499999999999993</v>
      </c>
      <c r="E33" s="143">
        <v>228.23</v>
      </c>
      <c r="F33" s="18" t="s">
        <v>310</v>
      </c>
    </row>
    <row r="34" spans="1:6">
      <c r="A34" s="148" t="s">
        <v>429</v>
      </c>
      <c r="B34" s="149" t="s">
        <v>157</v>
      </c>
      <c r="C34" s="148" t="s">
        <v>66</v>
      </c>
      <c r="D34" s="150">
        <v>5.52</v>
      </c>
      <c r="E34" s="143">
        <v>124.13</v>
      </c>
      <c r="F34" s="18" t="s">
        <v>310</v>
      </c>
    </row>
    <row r="35" spans="1:6">
      <c r="A35" s="148" t="s">
        <v>85</v>
      </c>
      <c r="B35" s="149" t="s">
        <v>157</v>
      </c>
      <c r="C35" s="148" t="s">
        <v>66</v>
      </c>
      <c r="D35" s="148">
        <v>8.98</v>
      </c>
      <c r="E35" s="143">
        <v>222.34</v>
      </c>
      <c r="F35" s="18" t="s">
        <v>310</v>
      </c>
    </row>
    <row r="36" spans="1:6">
      <c r="A36" s="148" t="s">
        <v>159</v>
      </c>
      <c r="B36" s="149" t="s">
        <v>157</v>
      </c>
      <c r="C36" s="148" t="s">
        <v>66</v>
      </c>
      <c r="D36" s="150">
        <v>12.08</v>
      </c>
      <c r="E36" s="143">
        <v>290</v>
      </c>
      <c r="F36" s="18" t="s">
        <v>310</v>
      </c>
    </row>
    <row r="37" spans="1:6">
      <c r="A37" s="123" t="s">
        <v>88</v>
      </c>
      <c r="B37" s="132" t="s">
        <v>157</v>
      </c>
      <c r="C37" s="123" t="s">
        <v>66</v>
      </c>
      <c r="D37" s="133">
        <v>3.22</v>
      </c>
      <c r="E37" s="134">
        <v>79.61</v>
      </c>
    </row>
    <row r="38" spans="1:6">
      <c r="A38" s="148" t="s">
        <v>407</v>
      </c>
      <c r="B38" s="149" t="s">
        <v>157</v>
      </c>
      <c r="C38" s="148" t="s">
        <v>66</v>
      </c>
      <c r="D38" s="150">
        <v>4.53</v>
      </c>
      <c r="E38" s="143">
        <v>108.8</v>
      </c>
      <c r="F38" s="18" t="s">
        <v>310</v>
      </c>
    </row>
    <row r="39" spans="1:6">
      <c r="A39" s="148" t="s">
        <v>328</v>
      </c>
      <c r="B39" s="149" t="s">
        <v>157</v>
      </c>
      <c r="C39" s="148" t="s">
        <v>66</v>
      </c>
      <c r="D39" s="150">
        <v>23.75</v>
      </c>
      <c r="E39" s="143">
        <v>587.80999999999995</v>
      </c>
      <c r="F39" s="18" t="s">
        <v>310</v>
      </c>
    </row>
    <row r="40" spans="1:6">
      <c r="A40" s="123" t="s">
        <v>414</v>
      </c>
      <c r="B40" s="132" t="s">
        <v>157</v>
      </c>
      <c r="C40" s="123" t="s">
        <v>66</v>
      </c>
      <c r="D40" s="133">
        <v>3.83</v>
      </c>
      <c r="E40" s="134">
        <v>80.5</v>
      </c>
    </row>
    <row r="41" spans="1:6">
      <c r="A41" s="140" t="s">
        <v>422</v>
      </c>
      <c r="B41" s="141" t="s">
        <v>157</v>
      </c>
      <c r="C41" s="140" t="s">
        <v>66</v>
      </c>
      <c r="D41" s="142">
        <v>36.92</v>
      </c>
      <c r="E41" s="143">
        <v>1052.1300000000001</v>
      </c>
      <c r="F41" s="18" t="s">
        <v>310</v>
      </c>
    </row>
    <row r="42" spans="1:6">
      <c r="A42" s="148" t="s">
        <v>79</v>
      </c>
      <c r="B42" s="149" t="s">
        <v>157</v>
      </c>
      <c r="C42" s="148" t="s">
        <v>66</v>
      </c>
      <c r="D42" s="148">
        <v>6.83</v>
      </c>
      <c r="E42" s="143">
        <v>164</v>
      </c>
      <c r="F42" s="18" t="s">
        <v>310</v>
      </c>
    </row>
    <row r="43" spans="1:6">
      <c r="A43" s="123" t="s">
        <v>442</v>
      </c>
      <c r="B43" s="132" t="s">
        <v>157</v>
      </c>
      <c r="C43" s="123" t="s">
        <v>66</v>
      </c>
      <c r="D43" s="123">
        <v>1.1200000000000001</v>
      </c>
      <c r="E43" s="134">
        <v>23.45</v>
      </c>
    </row>
    <row r="44" spans="1:6">
      <c r="A44" s="123" t="s">
        <v>430</v>
      </c>
      <c r="B44" s="132" t="s">
        <v>157</v>
      </c>
      <c r="C44" s="123" t="s">
        <v>66</v>
      </c>
      <c r="D44" s="123">
        <v>0.97</v>
      </c>
      <c r="E44" s="134">
        <v>23.2</v>
      </c>
    </row>
    <row r="45" spans="1:6">
      <c r="A45" s="148" t="s">
        <v>375</v>
      </c>
      <c r="B45" s="149" t="s">
        <v>157</v>
      </c>
      <c r="C45" s="148" t="s">
        <v>66</v>
      </c>
      <c r="D45" s="148">
        <v>5.13</v>
      </c>
      <c r="E45" s="143">
        <v>123.2</v>
      </c>
      <c r="F45" s="18" t="s">
        <v>310</v>
      </c>
    </row>
    <row r="46" spans="1:6">
      <c r="A46" s="127" t="s">
        <v>7</v>
      </c>
      <c r="B46" s="124"/>
      <c r="C46" s="124"/>
      <c r="D46" s="131">
        <f>SUM(D25:D45)</f>
        <v>207.25</v>
      </c>
      <c r="E46" s="135">
        <f>SUM(E25:E45)</f>
        <v>5158.3900000000003</v>
      </c>
    </row>
    <row r="47" spans="1:6">
      <c r="A47" s="127"/>
      <c r="B47" s="124"/>
      <c r="C47" s="124"/>
      <c r="D47" s="131"/>
      <c r="E47" s="135"/>
    </row>
    <row r="48" spans="1:6">
      <c r="A48" s="140" t="s">
        <v>163</v>
      </c>
      <c r="B48" s="141" t="s">
        <v>162</v>
      </c>
      <c r="C48" s="140" t="s">
        <v>51</v>
      </c>
      <c r="D48" s="142">
        <v>12.97</v>
      </c>
      <c r="E48" s="143">
        <v>369.55</v>
      </c>
      <c r="F48" s="18" t="s">
        <v>310</v>
      </c>
    </row>
    <row r="49" spans="1:6">
      <c r="A49" s="127" t="s">
        <v>7</v>
      </c>
      <c r="B49" s="125"/>
      <c r="C49" s="124"/>
      <c r="D49" s="131">
        <v>12.97</v>
      </c>
      <c r="E49" s="135">
        <v>369.55</v>
      </c>
    </row>
    <row r="50" spans="1:6">
      <c r="A50" s="127"/>
      <c r="B50" s="124"/>
      <c r="C50" s="124"/>
      <c r="D50" s="131"/>
      <c r="E50" s="135"/>
    </row>
    <row r="51" spans="1:6">
      <c r="A51" s="140" t="s">
        <v>203</v>
      </c>
      <c r="B51" s="141" t="s">
        <v>164</v>
      </c>
      <c r="C51" s="140" t="s">
        <v>60</v>
      </c>
      <c r="D51" s="142">
        <f>6.75+2.82</f>
        <v>9.57</v>
      </c>
      <c r="E51" s="143">
        <f>141.75+59.15</f>
        <v>200.9</v>
      </c>
      <c r="F51" s="18" t="s">
        <v>310</v>
      </c>
    </row>
    <row r="52" spans="1:6">
      <c r="A52" s="140" t="s">
        <v>411</v>
      </c>
      <c r="B52" s="141" t="s">
        <v>164</v>
      </c>
      <c r="C52" s="140" t="s">
        <v>60</v>
      </c>
      <c r="D52" s="142">
        <v>14.5</v>
      </c>
      <c r="E52" s="143">
        <v>428.75</v>
      </c>
      <c r="F52" s="18" t="s">
        <v>310</v>
      </c>
    </row>
    <row r="53" spans="1:6">
      <c r="A53" s="124" t="s">
        <v>432</v>
      </c>
      <c r="B53" s="125" t="s">
        <v>164</v>
      </c>
      <c r="C53" s="124" t="s">
        <v>60</v>
      </c>
      <c r="D53" s="126">
        <v>0.2</v>
      </c>
      <c r="E53" s="134">
        <v>4.13</v>
      </c>
    </row>
    <row r="54" spans="1:6">
      <c r="A54" s="140" t="s">
        <v>64</v>
      </c>
      <c r="B54" s="141" t="s">
        <v>164</v>
      </c>
      <c r="C54" s="140" t="s">
        <v>60</v>
      </c>
      <c r="D54" s="142">
        <v>21.28</v>
      </c>
      <c r="E54" s="143">
        <v>446.95</v>
      </c>
      <c r="F54" s="18" t="s">
        <v>310</v>
      </c>
    </row>
    <row r="55" spans="1:6">
      <c r="A55" s="127" t="s">
        <v>7</v>
      </c>
      <c r="B55" s="124"/>
      <c r="C55" s="124"/>
      <c r="D55" s="131">
        <f>SUM(D51:D54)</f>
        <v>45.55</v>
      </c>
      <c r="E55" s="135">
        <f>SUM(E51:E54)</f>
        <v>1080.73</v>
      </c>
    </row>
    <row r="56" spans="1:6">
      <c r="A56" s="127"/>
      <c r="B56" s="124"/>
      <c r="C56" s="124"/>
      <c r="D56" s="131"/>
      <c r="E56" s="135"/>
    </row>
    <row r="57" spans="1:6">
      <c r="A57" s="124" t="s">
        <v>412</v>
      </c>
      <c r="B57" s="125" t="s">
        <v>165</v>
      </c>
      <c r="C57" s="124" t="s">
        <v>45</v>
      </c>
      <c r="D57" s="126">
        <v>1.07</v>
      </c>
      <c r="E57" s="134">
        <v>24</v>
      </c>
    </row>
    <row r="58" spans="1:6">
      <c r="A58" s="127" t="s">
        <v>7</v>
      </c>
      <c r="B58" s="124"/>
      <c r="C58" s="124"/>
      <c r="D58" s="131">
        <v>1.07</v>
      </c>
      <c r="E58" s="135">
        <v>24</v>
      </c>
    </row>
    <row r="59" spans="1:6">
      <c r="A59" s="127"/>
      <c r="B59" s="124"/>
      <c r="C59" s="124"/>
      <c r="D59" s="131"/>
      <c r="E59" s="135"/>
    </row>
    <row r="60" spans="1:6">
      <c r="A60" s="124" t="s">
        <v>166</v>
      </c>
      <c r="B60" s="125" t="s">
        <v>167</v>
      </c>
      <c r="C60" s="124" t="s">
        <v>54</v>
      </c>
      <c r="D60" s="126">
        <v>2.1</v>
      </c>
      <c r="E60" s="134">
        <v>50.4</v>
      </c>
    </row>
    <row r="61" spans="1:6">
      <c r="A61" s="124" t="s">
        <v>345</v>
      </c>
      <c r="B61" s="125" t="s">
        <v>167</v>
      </c>
      <c r="C61" s="124" t="s">
        <v>54</v>
      </c>
      <c r="D61" s="126">
        <v>2.8</v>
      </c>
      <c r="E61" s="134">
        <v>71.400000000000006</v>
      </c>
    </row>
    <row r="62" spans="1:6">
      <c r="A62" s="124" t="s">
        <v>421</v>
      </c>
      <c r="B62" s="125" t="s">
        <v>167</v>
      </c>
      <c r="C62" s="124" t="s">
        <v>54</v>
      </c>
      <c r="D62" s="126">
        <v>1.05</v>
      </c>
      <c r="E62" s="134">
        <v>28.35</v>
      </c>
    </row>
    <row r="63" spans="1:6">
      <c r="A63" s="124" t="s">
        <v>393</v>
      </c>
      <c r="B63" s="125" t="s">
        <v>167</v>
      </c>
      <c r="C63" s="124" t="s">
        <v>54</v>
      </c>
      <c r="D63" s="126">
        <v>2.57</v>
      </c>
      <c r="E63" s="134">
        <v>53.9</v>
      </c>
    </row>
    <row r="64" spans="1:6">
      <c r="A64" s="127" t="s">
        <v>7</v>
      </c>
      <c r="B64" s="125"/>
      <c r="C64" s="124"/>
      <c r="D64" s="131">
        <f>SUM(D60:D63)</f>
        <v>8.52</v>
      </c>
      <c r="E64" s="135">
        <f>SUM(E60:E63)</f>
        <v>204.05</v>
      </c>
    </row>
    <row r="65" spans="1:5">
      <c r="A65" s="127"/>
      <c r="B65" s="125"/>
      <c r="C65" s="124"/>
      <c r="D65" s="131"/>
      <c r="E65" s="135"/>
    </row>
    <row r="66" spans="1:5">
      <c r="A66" s="124" t="s">
        <v>367</v>
      </c>
      <c r="B66" s="125" t="s">
        <v>171</v>
      </c>
      <c r="C66" s="124" t="s">
        <v>25</v>
      </c>
      <c r="D66" s="126">
        <v>3.42</v>
      </c>
      <c r="E66" s="134">
        <v>94.81</v>
      </c>
    </row>
    <row r="67" spans="1:5">
      <c r="A67" s="124" t="s">
        <v>424</v>
      </c>
      <c r="B67" s="125" t="s">
        <v>171</v>
      </c>
      <c r="C67" s="124" t="s">
        <v>25</v>
      </c>
      <c r="D67" s="126">
        <v>2.87</v>
      </c>
      <c r="E67" s="134">
        <v>100.28</v>
      </c>
    </row>
    <row r="68" spans="1:5">
      <c r="A68" s="124" t="s">
        <v>286</v>
      </c>
      <c r="B68" s="125" t="s">
        <v>171</v>
      </c>
      <c r="C68" s="124" t="s">
        <v>25</v>
      </c>
      <c r="D68" s="126">
        <v>0.43</v>
      </c>
      <c r="E68" s="134">
        <v>13</v>
      </c>
    </row>
    <row r="69" spans="1:5">
      <c r="A69" s="124" t="s">
        <v>436</v>
      </c>
      <c r="B69" s="125" t="s">
        <v>171</v>
      </c>
      <c r="C69" s="124" t="s">
        <v>25</v>
      </c>
      <c r="D69" s="126">
        <v>0.23</v>
      </c>
      <c r="E69" s="134">
        <v>700</v>
      </c>
    </row>
    <row r="70" spans="1:5">
      <c r="A70" s="124" t="s">
        <v>368</v>
      </c>
      <c r="B70" s="125" t="s">
        <v>171</v>
      </c>
      <c r="C70" s="124" t="s">
        <v>25</v>
      </c>
      <c r="D70" s="126">
        <v>2.72</v>
      </c>
      <c r="E70" s="134">
        <v>83.54</v>
      </c>
    </row>
    <row r="71" spans="1:5">
      <c r="A71" s="127" t="s">
        <v>7</v>
      </c>
      <c r="B71" s="124"/>
      <c r="C71" s="124"/>
      <c r="D71" s="131">
        <f>SUM(D66:D70)</f>
        <v>9.67</v>
      </c>
      <c r="E71" s="135">
        <f>SUM(E66:E70)</f>
        <v>991.63</v>
      </c>
    </row>
    <row r="72" spans="1:5">
      <c r="A72" s="127"/>
      <c r="B72" s="124"/>
      <c r="C72" s="124"/>
      <c r="D72" s="131"/>
      <c r="E72" s="135"/>
    </row>
    <row r="73" spans="1:5">
      <c r="A73" s="124" t="s">
        <v>394</v>
      </c>
      <c r="B73" s="125" t="s">
        <v>172</v>
      </c>
      <c r="C73" s="124" t="s">
        <v>348</v>
      </c>
      <c r="D73" s="126">
        <v>0.73</v>
      </c>
      <c r="E73" s="134">
        <v>25.65</v>
      </c>
    </row>
    <row r="74" spans="1:5">
      <c r="A74" s="124" t="s">
        <v>413</v>
      </c>
      <c r="B74" s="125" t="s">
        <v>172</v>
      </c>
      <c r="C74" s="124" t="s">
        <v>348</v>
      </c>
      <c r="D74" s="126">
        <v>1.92</v>
      </c>
      <c r="E74" s="134">
        <v>65.67</v>
      </c>
    </row>
    <row r="75" spans="1:5">
      <c r="A75" s="127" t="s">
        <v>7</v>
      </c>
      <c r="B75" s="124"/>
      <c r="C75" s="124"/>
      <c r="D75" s="131">
        <f>SUM(D73:D74)</f>
        <v>2.65</v>
      </c>
      <c r="E75" s="135">
        <f>SUM(E73:E74)</f>
        <v>91.32</v>
      </c>
    </row>
    <row r="76" spans="1:5">
      <c r="A76" s="124"/>
      <c r="B76" s="124"/>
      <c r="C76" s="124"/>
      <c r="D76" s="126"/>
      <c r="E76" s="134"/>
    </row>
    <row r="77" spans="1:5">
      <c r="A77" s="124" t="s">
        <v>307</v>
      </c>
      <c r="B77" s="124">
        <v>100035</v>
      </c>
      <c r="C77" s="124" t="s">
        <v>332</v>
      </c>
      <c r="D77" s="126">
        <v>0.67</v>
      </c>
      <c r="E77" s="134">
        <v>25.07</v>
      </c>
    </row>
    <row r="78" spans="1:5">
      <c r="A78" s="144" t="s">
        <v>331</v>
      </c>
      <c r="B78" s="144">
        <v>100035</v>
      </c>
      <c r="C78" s="144" t="s">
        <v>332</v>
      </c>
      <c r="D78" s="146">
        <v>6.45</v>
      </c>
      <c r="E78" s="147">
        <v>206.66</v>
      </c>
    </row>
    <row r="79" spans="1:5">
      <c r="A79" s="127" t="s">
        <v>7</v>
      </c>
      <c r="B79" s="124"/>
      <c r="C79" s="124"/>
      <c r="D79" s="131">
        <f>SUM(D77:D78)</f>
        <v>7.12</v>
      </c>
      <c r="E79" s="135">
        <f>SUM(E77:E78)</f>
        <v>231.73</v>
      </c>
    </row>
    <row r="80" spans="1:5">
      <c r="A80" s="127"/>
      <c r="B80" s="124"/>
      <c r="C80" s="124"/>
      <c r="D80" s="126"/>
      <c r="E80" s="134"/>
    </row>
    <row r="81" spans="1:5">
      <c r="A81" s="124" t="s">
        <v>37</v>
      </c>
      <c r="B81" s="124">
        <v>100051</v>
      </c>
      <c r="C81" s="124" t="s">
        <v>34</v>
      </c>
      <c r="D81" s="126"/>
      <c r="E81" s="134"/>
    </row>
    <row r="82" spans="1:5">
      <c r="A82" s="124" t="s">
        <v>213</v>
      </c>
      <c r="B82" s="124">
        <v>100051</v>
      </c>
      <c r="C82" s="124" t="s">
        <v>34</v>
      </c>
      <c r="D82" s="126">
        <v>1.82</v>
      </c>
      <c r="E82" s="134">
        <v>39.51</v>
      </c>
    </row>
    <row r="83" spans="1:5">
      <c r="A83" s="127" t="s">
        <v>7</v>
      </c>
      <c r="B83" s="124"/>
      <c r="C83" s="124"/>
      <c r="D83" s="131">
        <v>1.82</v>
      </c>
      <c r="E83" s="135">
        <v>39.51</v>
      </c>
    </row>
    <row r="84" spans="1:5">
      <c r="A84" s="127"/>
      <c r="B84" s="124"/>
      <c r="C84" s="124"/>
      <c r="D84" s="131"/>
      <c r="E84" s="135"/>
    </row>
    <row r="85" spans="1:5">
      <c r="A85" s="136" t="s">
        <v>426</v>
      </c>
      <c r="B85" s="136">
        <v>290020</v>
      </c>
      <c r="C85" s="136" t="s">
        <v>146</v>
      </c>
      <c r="D85" s="137">
        <v>4.1500000000000004</v>
      </c>
      <c r="E85" s="138">
        <v>134.65</v>
      </c>
    </row>
    <row r="86" spans="1:5">
      <c r="A86" s="127" t="s">
        <v>7</v>
      </c>
      <c r="B86" s="124"/>
      <c r="C86" s="124"/>
      <c r="D86" s="131">
        <v>4.1500000000000004</v>
      </c>
      <c r="E86" s="135">
        <v>134.65</v>
      </c>
    </row>
    <row r="87" spans="1:5">
      <c r="A87" s="127"/>
      <c r="B87" s="124"/>
      <c r="C87" s="124"/>
      <c r="D87" s="131"/>
      <c r="E87" s="135"/>
    </row>
    <row r="88" spans="1:5">
      <c r="A88" s="124" t="s">
        <v>443</v>
      </c>
      <c r="B88" s="124">
        <v>290035</v>
      </c>
      <c r="C88" s="124" t="s">
        <v>444</v>
      </c>
      <c r="D88" s="126">
        <v>1.25</v>
      </c>
      <c r="E88" s="134">
        <v>37.5</v>
      </c>
    </row>
    <row r="89" spans="1:5">
      <c r="A89" s="127" t="s">
        <v>7</v>
      </c>
      <c r="B89" s="124"/>
      <c r="C89" s="124"/>
      <c r="D89" s="131">
        <v>1.25</v>
      </c>
      <c r="E89" s="135">
        <v>37.5</v>
      </c>
    </row>
    <row r="90" spans="1:5">
      <c r="A90" s="127"/>
      <c r="B90" s="124"/>
      <c r="C90" s="124"/>
      <c r="D90" s="131"/>
      <c r="E90" s="135"/>
    </row>
    <row r="91" spans="1:5">
      <c r="A91" s="124" t="s">
        <v>427</v>
      </c>
      <c r="B91" s="124">
        <v>450051</v>
      </c>
      <c r="C91" s="124" t="s">
        <v>104</v>
      </c>
      <c r="D91" s="126">
        <v>0.13</v>
      </c>
      <c r="E91" s="134">
        <v>2.6</v>
      </c>
    </row>
    <row r="92" spans="1:5">
      <c r="A92" s="127" t="s">
        <v>7</v>
      </c>
      <c r="B92" s="124"/>
      <c r="C92" s="124"/>
      <c r="D92" s="131">
        <v>0.13</v>
      </c>
      <c r="E92" s="135">
        <v>2.6</v>
      </c>
    </row>
    <row r="93" spans="1:5">
      <c r="A93" s="127"/>
      <c r="B93" s="124"/>
      <c r="C93" s="124"/>
      <c r="D93" s="131"/>
      <c r="E93" s="135"/>
    </row>
    <row r="94" spans="1:5">
      <c r="A94" s="124" t="s">
        <v>244</v>
      </c>
      <c r="B94" s="124">
        <v>400020</v>
      </c>
      <c r="C94" s="124" t="s">
        <v>98</v>
      </c>
      <c r="D94" s="126">
        <v>0.43</v>
      </c>
      <c r="E94" s="134">
        <v>10.5</v>
      </c>
    </row>
    <row r="95" spans="1:5">
      <c r="A95" s="124" t="s">
        <v>434</v>
      </c>
      <c r="B95" s="124">
        <v>400020</v>
      </c>
      <c r="C95" s="124" t="s">
        <v>98</v>
      </c>
      <c r="D95" s="126">
        <v>2.35</v>
      </c>
      <c r="E95" s="134">
        <v>73.36</v>
      </c>
    </row>
    <row r="96" spans="1:5">
      <c r="A96" s="127" t="s">
        <v>7</v>
      </c>
      <c r="B96" s="124"/>
      <c r="C96" s="124"/>
      <c r="D96" s="131">
        <f>SUM(D94:D95)</f>
        <v>2.7800000000000002</v>
      </c>
      <c r="E96" s="135">
        <f>SUM(E94:E95)</f>
        <v>83.86</v>
      </c>
    </row>
    <row r="97" spans="1:5">
      <c r="A97" s="127"/>
      <c r="B97" s="124"/>
      <c r="C97" s="124"/>
      <c r="D97" s="131"/>
      <c r="E97" s="135"/>
    </row>
    <row r="98" spans="1:5">
      <c r="A98" s="151" t="s">
        <v>41</v>
      </c>
      <c r="B98" s="151">
        <v>550052</v>
      </c>
      <c r="C98" s="151" t="s">
        <v>284</v>
      </c>
      <c r="D98" s="152">
        <v>5.22</v>
      </c>
      <c r="E98" s="153">
        <v>129.11000000000001</v>
      </c>
    </row>
    <row r="99" spans="1:5">
      <c r="A99" s="127" t="s">
        <v>7</v>
      </c>
      <c r="B99" s="124"/>
      <c r="C99" s="124"/>
      <c r="D99" s="131">
        <v>5.22</v>
      </c>
      <c r="E99" s="135">
        <v>129.11000000000001</v>
      </c>
    </row>
    <row r="100" spans="1:5">
      <c r="A100" s="127"/>
      <c r="B100" s="124"/>
      <c r="C100" s="124"/>
      <c r="D100" s="131"/>
      <c r="E100" s="135"/>
    </row>
    <row r="101" spans="1:5">
      <c r="A101" s="122" t="s">
        <v>194</v>
      </c>
      <c r="B101" s="123"/>
      <c r="C101" s="123"/>
      <c r="D101" s="131">
        <v>384.59</v>
      </c>
      <c r="E101" s="135">
        <v>10079.75</v>
      </c>
    </row>
    <row r="102" spans="1:5">
      <c r="A102" s="124"/>
      <c r="B102" s="124"/>
      <c r="C102" s="124"/>
      <c r="D102" s="126"/>
      <c r="E102" s="134"/>
    </row>
    <row r="103" spans="1:5">
      <c r="A103" s="127"/>
      <c r="B103" s="124"/>
      <c r="C103" s="124"/>
      <c r="D103" s="131"/>
      <c r="E103" s="129"/>
    </row>
    <row r="104" spans="1:5">
      <c r="A104" s="19"/>
      <c r="B104" s="20"/>
      <c r="C104" s="20"/>
      <c r="D104" s="26"/>
      <c r="E104" s="25"/>
    </row>
    <row r="105" spans="1:5">
      <c r="A105" s="20"/>
      <c r="B105" s="20"/>
      <c r="C105" s="20"/>
      <c r="D105" s="21"/>
      <c r="E105" s="22"/>
    </row>
    <row r="106" spans="1:5">
      <c r="A106" s="19"/>
      <c r="B106" s="20"/>
      <c r="C106" s="20"/>
      <c r="D106" s="26"/>
      <c r="E106" s="25"/>
    </row>
    <row r="107" spans="1:5">
      <c r="A107" s="19"/>
      <c r="B107" s="20"/>
      <c r="C107" s="20"/>
      <c r="D107" s="26"/>
      <c r="E107" s="25"/>
    </row>
    <row r="108" spans="1:5">
      <c r="A108" s="19"/>
      <c r="B108" s="20"/>
      <c r="C108" s="20"/>
      <c r="D108" s="26"/>
      <c r="E108" s="25"/>
    </row>
    <row r="109" spans="1:5">
      <c r="A109" s="20"/>
      <c r="B109" s="20"/>
      <c r="C109" s="20"/>
      <c r="D109" s="21"/>
      <c r="E109" s="22"/>
    </row>
    <row r="110" spans="1:5">
      <c r="A110" s="19"/>
      <c r="B110" s="20"/>
      <c r="C110" s="20"/>
      <c r="D110" s="26"/>
      <c r="E110" s="25"/>
    </row>
    <row r="111" spans="1:5">
      <c r="A111" s="20"/>
      <c r="B111" s="20"/>
      <c r="C111" s="20"/>
      <c r="D111" s="21"/>
      <c r="E111" s="22"/>
    </row>
    <row r="112" spans="1:5">
      <c r="A112" s="20"/>
      <c r="B112" s="20"/>
      <c r="C112" s="20"/>
      <c r="D112" s="21"/>
      <c r="E112" s="22"/>
    </row>
    <row r="113" spans="1:5">
      <c r="A113" s="19"/>
      <c r="B113" s="20"/>
      <c r="C113" s="20"/>
      <c r="D113" s="26"/>
      <c r="E113" s="25"/>
    </row>
    <row r="114" spans="1:5">
      <c r="A114" s="19"/>
      <c r="B114" s="20"/>
      <c r="C114" s="20"/>
      <c r="D114" s="26"/>
      <c r="E114" s="25"/>
    </row>
    <row r="115" spans="1:5">
      <c r="A115" s="20"/>
      <c r="B115" s="20"/>
      <c r="C115" s="20"/>
      <c r="D115" s="21"/>
      <c r="E115" s="22"/>
    </row>
    <row r="116" spans="1:5">
      <c r="A116" s="19"/>
      <c r="B116" s="20"/>
      <c r="C116" s="20"/>
      <c r="D116" s="26"/>
      <c r="E116" s="25"/>
    </row>
    <row r="117" spans="1:5">
      <c r="A117" s="19"/>
      <c r="B117" s="20"/>
      <c r="C117" s="20"/>
      <c r="D117" s="26"/>
      <c r="E117" s="25"/>
    </row>
  </sheetData>
  <mergeCells count="1">
    <mergeCell ref="G4:K4"/>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90"/>
  <sheetViews>
    <sheetView topLeftCell="A34" workbookViewId="0">
      <selection activeCell="F41" sqref="F41"/>
    </sheetView>
  </sheetViews>
  <sheetFormatPr defaultRowHeight="12.75"/>
  <cols>
    <col min="1" max="1" width="19.42578125" bestFit="1" customWidth="1"/>
    <col min="2" max="2" width="23.140625" bestFit="1" customWidth="1"/>
    <col min="3" max="3" width="33.85546875" bestFit="1" customWidth="1"/>
    <col min="4" max="4" width="20.42578125" bestFit="1" customWidth="1"/>
    <col min="5" max="5" width="23.28515625" bestFit="1" customWidth="1"/>
    <col min="6" max="6" width="19.7109375" customWidth="1"/>
    <col min="7" max="7" width="10.85546875" bestFit="1" customWidth="1"/>
    <col min="8" max="8" width="17.28515625" bestFit="1" customWidth="1"/>
    <col min="9" max="9" width="10" bestFit="1" customWidth="1"/>
    <col min="10" max="10" width="11.140625" bestFit="1" customWidth="1"/>
  </cols>
  <sheetData>
    <row r="1" spans="1:11">
      <c r="A1" s="122" t="s">
        <v>147</v>
      </c>
      <c r="B1" s="122" t="s">
        <v>148</v>
      </c>
      <c r="C1" s="122" t="s">
        <v>149</v>
      </c>
      <c r="D1" s="122" t="s">
        <v>150</v>
      </c>
      <c r="E1" s="122" t="s">
        <v>151</v>
      </c>
      <c r="F1" s="11" t="s">
        <v>440</v>
      </c>
      <c r="G1" s="38" t="s">
        <v>259</v>
      </c>
      <c r="H1" s="88" t="s">
        <v>334</v>
      </c>
      <c r="I1" s="40" t="s">
        <v>260</v>
      </c>
      <c r="J1" s="119" t="s">
        <v>262</v>
      </c>
      <c r="K1" s="39" t="s">
        <v>261</v>
      </c>
    </row>
    <row r="2" spans="1:11">
      <c r="A2" s="124" t="s">
        <v>366</v>
      </c>
      <c r="B2" s="125" t="s">
        <v>152</v>
      </c>
      <c r="C2" s="124" t="s">
        <v>15</v>
      </c>
      <c r="D2" s="126">
        <v>0.88</v>
      </c>
      <c r="E2" s="134">
        <v>22.98</v>
      </c>
      <c r="F2" s="20"/>
      <c r="G2" s="13">
        <f>E16+E21+E22+E24+E25+E26+E27+E28+E32+E34+E35+E36+E37+E38+E41</f>
        <v>3213.4900000000007</v>
      </c>
      <c r="H2" s="89">
        <f>E4</f>
        <v>544.27</v>
      </c>
      <c r="I2" s="66">
        <f>0</f>
        <v>0</v>
      </c>
      <c r="J2" s="120">
        <v>0</v>
      </c>
      <c r="K2" s="16">
        <f>E86</f>
        <v>736.31</v>
      </c>
    </row>
    <row r="3" spans="1:11">
      <c r="A3" s="124" t="s">
        <v>389</v>
      </c>
      <c r="B3" s="125" t="s">
        <v>152</v>
      </c>
      <c r="C3" s="124" t="s">
        <v>15</v>
      </c>
      <c r="D3" s="126">
        <v>0.02</v>
      </c>
      <c r="E3" s="134">
        <v>0.48</v>
      </c>
      <c r="F3" s="18"/>
      <c r="G3" s="18"/>
      <c r="H3" s="18"/>
      <c r="I3" s="18"/>
      <c r="J3" s="18"/>
      <c r="K3" s="18"/>
    </row>
    <row r="4" spans="1:11">
      <c r="A4" s="136" t="s">
        <v>18</v>
      </c>
      <c r="B4" s="136" t="s">
        <v>152</v>
      </c>
      <c r="C4" s="136" t="s">
        <v>15</v>
      </c>
      <c r="D4" s="137">
        <v>19.5</v>
      </c>
      <c r="E4" s="138">
        <v>544.27</v>
      </c>
      <c r="F4" s="31" t="s">
        <v>310</v>
      </c>
      <c r="G4" s="305" t="s">
        <v>263</v>
      </c>
      <c r="H4" s="305"/>
      <c r="I4" s="305"/>
      <c r="J4" s="305"/>
      <c r="K4" s="305"/>
    </row>
    <row r="5" spans="1:11">
      <c r="A5" s="124" t="s">
        <v>377</v>
      </c>
      <c r="B5" s="125" t="s">
        <v>152</v>
      </c>
      <c r="C5" s="124" t="s">
        <v>15</v>
      </c>
      <c r="D5" s="126">
        <v>1.7</v>
      </c>
      <c r="E5" s="134">
        <v>55.74</v>
      </c>
    </row>
    <row r="6" spans="1:11">
      <c r="A6" s="124" t="s">
        <v>397</v>
      </c>
      <c r="B6" s="125" t="s">
        <v>152</v>
      </c>
      <c r="C6" s="124" t="s">
        <v>15</v>
      </c>
      <c r="D6" s="126">
        <v>2.33</v>
      </c>
      <c r="E6" s="134">
        <v>72.349999999999994</v>
      </c>
    </row>
    <row r="7" spans="1:11">
      <c r="A7" s="127" t="s">
        <v>7</v>
      </c>
      <c r="B7" s="124"/>
      <c r="C7" s="124"/>
      <c r="D7" s="131">
        <f>SUM(D2:D6)</f>
        <v>24.43</v>
      </c>
      <c r="E7" s="135">
        <f>SUM(E2:E6)</f>
        <v>695.82</v>
      </c>
    </row>
    <row r="8" spans="1:11">
      <c r="A8" s="127"/>
      <c r="B8" s="124"/>
      <c r="C8" s="124"/>
      <c r="D8" s="131"/>
      <c r="E8" s="135"/>
    </row>
    <row r="9" spans="1:11">
      <c r="A9" s="124" t="s">
        <v>398</v>
      </c>
      <c r="B9" s="125" t="s">
        <v>154</v>
      </c>
      <c r="C9" s="124" t="s">
        <v>23</v>
      </c>
      <c r="D9" s="126">
        <v>1.93</v>
      </c>
      <c r="E9" s="134">
        <v>55.77</v>
      </c>
    </row>
    <row r="10" spans="1:11">
      <c r="A10" s="127" t="s">
        <v>7</v>
      </c>
      <c r="B10" s="124"/>
      <c r="C10" s="124"/>
      <c r="D10" s="131">
        <f>SUM(D9:D9)</f>
        <v>1.93</v>
      </c>
      <c r="E10" s="135">
        <f>SUM(E9:E9)</f>
        <v>55.77</v>
      </c>
    </row>
    <row r="11" spans="1:11">
      <c r="A11" s="127"/>
      <c r="B11" s="125"/>
      <c r="C11" s="124"/>
      <c r="D11" s="131"/>
      <c r="E11" s="135"/>
    </row>
    <row r="12" spans="1:11">
      <c r="A12" s="124" t="s">
        <v>195</v>
      </c>
      <c r="B12" s="125" t="s">
        <v>155</v>
      </c>
      <c r="C12" s="124" t="s">
        <v>196</v>
      </c>
      <c r="D12" s="126">
        <v>0.08</v>
      </c>
      <c r="E12" s="134">
        <v>2.77</v>
      </c>
    </row>
    <row r="13" spans="1:11">
      <c r="A13" s="124" t="s">
        <v>415</v>
      </c>
      <c r="B13" s="125" t="s">
        <v>155</v>
      </c>
      <c r="C13" s="124" t="s">
        <v>196</v>
      </c>
      <c r="D13" s="126">
        <v>0.18</v>
      </c>
      <c r="E13" s="134">
        <v>5.95</v>
      </c>
    </row>
    <row r="14" spans="1:11">
      <c r="A14" s="127" t="s">
        <v>7</v>
      </c>
      <c r="B14" s="124"/>
      <c r="C14" s="124"/>
      <c r="D14" s="131">
        <f>SUM(D12:D13)</f>
        <v>0.26</v>
      </c>
      <c r="E14" s="135">
        <f>SUM(E12:E13)</f>
        <v>8.7200000000000006</v>
      </c>
    </row>
    <row r="15" spans="1:11">
      <c r="A15" s="127"/>
      <c r="B15" s="124"/>
      <c r="C15" s="124"/>
      <c r="D15" s="131"/>
      <c r="E15" s="135"/>
    </row>
    <row r="16" spans="1:11">
      <c r="A16" s="140" t="s">
        <v>335</v>
      </c>
      <c r="B16" s="141" t="s">
        <v>156</v>
      </c>
      <c r="C16" s="140" t="s">
        <v>91</v>
      </c>
      <c r="D16" s="142">
        <v>4.32</v>
      </c>
      <c r="E16" s="143">
        <v>129.5</v>
      </c>
      <c r="F16" t="s">
        <v>310</v>
      </c>
    </row>
    <row r="17" spans="1:6">
      <c r="A17" s="124" t="s">
        <v>92</v>
      </c>
      <c r="B17" s="125" t="s">
        <v>156</v>
      </c>
      <c r="C17" s="124" t="s">
        <v>91</v>
      </c>
      <c r="D17" s="126">
        <v>0.92</v>
      </c>
      <c r="E17" s="134">
        <v>25.23</v>
      </c>
    </row>
    <row r="18" spans="1:6">
      <c r="A18" s="123" t="s">
        <v>417</v>
      </c>
      <c r="B18" s="132" t="s">
        <v>156</v>
      </c>
      <c r="C18" s="123" t="s">
        <v>91</v>
      </c>
      <c r="D18" s="126">
        <v>2.83</v>
      </c>
      <c r="E18" s="134">
        <v>70.13</v>
      </c>
    </row>
    <row r="19" spans="1:6">
      <c r="A19" s="127" t="s">
        <v>7</v>
      </c>
      <c r="B19" s="124"/>
      <c r="C19" s="124"/>
      <c r="D19" s="131">
        <f>SUM(D16:D18)</f>
        <v>8.07</v>
      </c>
      <c r="E19" s="135">
        <f>SUM(E16:E18)</f>
        <v>224.85999999999999</v>
      </c>
    </row>
    <row r="20" spans="1:6">
      <c r="A20" s="124"/>
      <c r="B20" s="124"/>
      <c r="C20" s="124"/>
      <c r="D20" s="126"/>
      <c r="E20" s="134"/>
    </row>
    <row r="21" spans="1:6">
      <c r="A21" s="140" t="s">
        <v>391</v>
      </c>
      <c r="B21" s="141" t="s">
        <v>157</v>
      </c>
      <c r="C21" s="140" t="s">
        <v>66</v>
      </c>
      <c r="D21" s="142">
        <v>9.9700000000000006</v>
      </c>
      <c r="E21" s="143">
        <v>239.2</v>
      </c>
      <c r="F21" t="s">
        <v>310</v>
      </c>
    </row>
    <row r="22" spans="1:6">
      <c r="A22" s="140" t="s">
        <v>228</v>
      </c>
      <c r="B22" s="141" t="s">
        <v>157</v>
      </c>
      <c r="C22" s="140" t="s">
        <v>66</v>
      </c>
      <c r="D22" s="142">
        <v>7.2</v>
      </c>
      <c r="E22" s="143">
        <v>172.8</v>
      </c>
      <c r="F22" t="s">
        <v>310</v>
      </c>
    </row>
    <row r="23" spans="1:6">
      <c r="A23" s="124" t="s">
        <v>410</v>
      </c>
      <c r="B23" s="125" t="s">
        <v>157</v>
      </c>
      <c r="C23" s="124" t="s">
        <v>66</v>
      </c>
      <c r="D23" s="126">
        <v>3.98</v>
      </c>
      <c r="E23" s="134">
        <v>83.65</v>
      </c>
    </row>
    <row r="24" spans="1:6">
      <c r="A24" s="140" t="s">
        <v>75</v>
      </c>
      <c r="B24" s="141" t="s">
        <v>157</v>
      </c>
      <c r="C24" s="140" t="s">
        <v>66</v>
      </c>
      <c r="D24" s="142">
        <v>8.08</v>
      </c>
      <c r="E24" s="143">
        <v>194</v>
      </c>
      <c r="F24" t="s">
        <v>310</v>
      </c>
    </row>
    <row r="25" spans="1:6">
      <c r="A25" s="140" t="s">
        <v>210</v>
      </c>
      <c r="B25" s="141" t="s">
        <v>157</v>
      </c>
      <c r="C25" s="140" t="s">
        <v>66</v>
      </c>
      <c r="D25" s="142">
        <v>11.33</v>
      </c>
      <c r="E25" s="143">
        <v>280.5</v>
      </c>
      <c r="F25" t="s">
        <v>310</v>
      </c>
    </row>
    <row r="26" spans="1:6">
      <c r="A26" s="140" t="s">
        <v>267</v>
      </c>
      <c r="B26" s="141" t="s">
        <v>157</v>
      </c>
      <c r="C26" s="140" t="s">
        <v>66</v>
      </c>
      <c r="D26" s="142">
        <v>5.73</v>
      </c>
      <c r="E26" s="143">
        <v>141.9</v>
      </c>
      <c r="F26" t="s">
        <v>310</v>
      </c>
    </row>
    <row r="27" spans="1:6">
      <c r="A27" s="140" t="s">
        <v>86</v>
      </c>
      <c r="B27" s="141" t="s">
        <v>157</v>
      </c>
      <c r="C27" s="140" t="s">
        <v>66</v>
      </c>
      <c r="D27" s="142">
        <v>6.47</v>
      </c>
      <c r="E27" s="143">
        <v>164.9</v>
      </c>
      <c r="F27" t="s">
        <v>310</v>
      </c>
    </row>
    <row r="28" spans="1:6">
      <c r="A28" s="148" t="s">
        <v>429</v>
      </c>
      <c r="B28" s="149" t="s">
        <v>157</v>
      </c>
      <c r="C28" s="148" t="s">
        <v>66</v>
      </c>
      <c r="D28" s="150">
        <v>6.6</v>
      </c>
      <c r="E28" s="143">
        <v>148.5</v>
      </c>
      <c r="F28" t="s">
        <v>310</v>
      </c>
    </row>
    <row r="29" spans="1:6">
      <c r="A29" s="123" t="s">
        <v>418</v>
      </c>
      <c r="B29" s="132" t="s">
        <v>157</v>
      </c>
      <c r="C29" s="123" t="s">
        <v>66</v>
      </c>
      <c r="D29" s="133">
        <v>1.6</v>
      </c>
      <c r="E29" s="134">
        <v>32.4</v>
      </c>
    </row>
    <row r="30" spans="1:6">
      <c r="A30" s="123" t="s">
        <v>419</v>
      </c>
      <c r="B30" s="132" t="s">
        <v>157</v>
      </c>
      <c r="C30" s="123" t="s">
        <v>66</v>
      </c>
      <c r="D30" s="133">
        <v>1.63</v>
      </c>
      <c r="E30" s="134">
        <v>33.08</v>
      </c>
    </row>
    <row r="31" spans="1:6">
      <c r="A31" s="123" t="s">
        <v>85</v>
      </c>
      <c r="B31" s="132" t="s">
        <v>157</v>
      </c>
      <c r="C31" s="123" t="s">
        <v>66</v>
      </c>
      <c r="D31" s="123">
        <v>1.77</v>
      </c>
      <c r="E31" s="134">
        <v>43.73</v>
      </c>
    </row>
    <row r="32" spans="1:6">
      <c r="A32" s="148" t="s">
        <v>159</v>
      </c>
      <c r="B32" s="149" t="s">
        <v>157</v>
      </c>
      <c r="C32" s="148" t="s">
        <v>66</v>
      </c>
      <c r="D32" s="150">
        <v>11.8</v>
      </c>
      <c r="E32" s="143">
        <v>283.2</v>
      </c>
      <c r="F32" t="s">
        <v>310</v>
      </c>
    </row>
    <row r="33" spans="1:6">
      <c r="A33" s="123" t="s">
        <v>88</v>
      </c>
      <c r="B33" s="132" t="s">
        <v>157</v>
      </c>
      <c r="C33" s="123" t="s">
        <v>66</v>
      </c>
      <c r="D33" s="133">
        <v>1.72</v>
      </c>
      <c r="E33" s="134">
        <v>42.49</v>
      </c>
    </row>
    <row r="34" spans="1:6">
      <c r="A34" s="148" t="s">
        <v>407</v>
      </c>
      <c r="B34" s="149" t="s">
        <v>157</v>
      </c>
      <c r="C34" s="148" t="s">
        <v>66</v>
      </c>
      <c r="D34" s="150">
        <v>6.63</v>
      </c>
      <c r="E34" s="143">
        <v>159.19999999999999</v>
      </c>
      <c r="F34" t="s">
        <v>310</v>
      </c>
    </row>
    <row r="35" spans="1:6">
      <c r="A35" s="148" t="s">
        <v>328</v>
      </c>
      <c r="B35" s="149" t="s">
        <v>157</v>
      </c>
      <c r="C35" s="148" t="s">
        <v>66</v>
      </c>
      <c r="D35" s="150">
        <v>11.85</v>
      </c>
      <c r="E35" s="143">
        <v>293.29000000000002</v>
      </c>
      <c r="F35" t="s">
        <v>310</v>
      </c>
    </row>
    <row r="36" spans="1:6">
      <c r="A36" s="140" t="s">
        <v>422</v>
      </c>
      <c r="B36" s="141" t="s">
        <v>157</v>
      </c>
      <c r="C36" s="140" t="s">
        <v>66</v>
      </c>
      <c r="D36" s="142">
        <v>16.43</v>
      </c>
      <c r="E36" s="143">
        <v>468.35</v>
      </c>
      <c r="F36" t="s">
        <v>310</v>
      </c>
    </row>
    <row r="37" spans="1:6">
      <c r="A37" s="148" t="s">
        <v>79</v>
      </c>
      <c r="B37" s="149" t="s">
        <v>157</v>
      </c>
      <c r="C37" s="148" t="s">
        <v>66</v>
      </c>
      <c r="D37" s="148">
        <v>4.28</v>
      </c>
      <c r="E37" s="143">
        <v>102.8</v>
      </c>
      <c r="F37" t="s">
        <v>310</v>
      </c>
    </row>
    <row r="38" spans="1:6">
      <c r="A38" s="148" t="s">
        <v>375</v>
      </c>
      <c r="B38" s="149" t="s">
        <v>157</v>
      </c>
      <c r="C38" s="148" t="s">
        <v>66</v>
      </c>
      <c r="D38" s="148">
        <v>6.7</v>
      </c>
      <c r="E38" s="143">
        <v>160.80000000000001</v>
      </c>
      <c r="F38" t="s">
        <v>310</v>
      </c>
    </row>
    <row r="39" spans="1:6">
      <c r="A39" s="127" t="s">
        <v>7</v>
      </c>
      <c r="B39" s="124"/>
      <c r="C39" s="124"/>
      <c r="D39" s="131">
        <f>SUM(D21:D38)</f>
        <v>123.77</v>
      </c>
      <c r="E39" s="135">
        <f>SUM(E21:E38)</f>
        <v>3044.7900000000004</v>
      </c>
    </row>
    <row r="40" spans="1:6">
      <c r="A40" s="127"/>
      <c r="B40" s="124"/>
      <c r="C40" s="124"/>
      <c r="D40" s="131"/>
      <c r="E40" s="135"/>
    </row>
    <row r="41" spans="1:6">
      <c r="A41" s="140" t="s">
        <v>163</v>
      </c>
      <c r="B41" s="141" t="s">
        <v>162</v>
      </c>
      <c r="C41" s="140" t="s">
        <v>51</v>
      </c>
      <c r="D41" s="142">
        <v>9.6300000000000008</v>
      </c>
      <c r="E41" s="143">
        <v>274.55</v>
      </c>
      <c r="F41" t="s">
        <v>310</v>
      </c>
    </row>
    <row r="42" spans="1:6">
      <c r="A42" s="127" t="s">
        <v>7</v>
      </c>
      <c r="B42" s="125"/>
      <c r="C42" s="124"/>
      <c r="D42" s="131">
        <v>9.6300000000000008</v>
      </c>
      <c r="E42" s="135">
        <v>274.55</v>
      </c>
    </row>
    <row r="43" spans="1:6">
      <c r="A43" s="127"/>
      <c r="B43" s="124"/>
      <c r="C43" s="124"/>
      <c r="D43" s="131"/>
      <c r="E43" s="135"/>
    </row>
    <row r="44" spans="1:6">
      <c r="A44" s="124" t="s">
        <v>411</v>
      </c>
      <c r="B44" s="125" t="s">
        <v>164</v>
      </c>
      <c r="C44" s="124" t="s">
        <v>60</v>
      </c>
      <c r="D44" s="126">
        <v>2.2200000000000002</v>
      </c>
      <c r="E44" s="134">
        <v>66.5</v>
      </c>
    </row>
    <row r="45" spans="1:6">
      <c r="A45" s="127" t="s">
        <v>7</v>
      </c>
      <c r="B45" s="124"/>
      <c r="C45" s="124"/>
      <c r="D45" s="131">
        <f>SUM(D44:D44)</f>
        <v>2.2200000000000002</v>
      </c>
      <c r="E45" s="135">
        <f>SUM(E44:E44)</f>
        <v>66.5</v>
      </c>
    </row>
    <row r="46" spans="1:6">
      <c r="A46" s="127"/>
      <c r="B46" s="124"/>
      <c r="C46" s="124"/>
      <c r="D46" s="131"/>
      <c r="E46" s="135"/>
    </row>
    <row r="47" spans="1:6">
      <c r="A47" s="124" t="s">
        <v>372</v>
      </c>
      <c r="B47" s="125" t="s">
        <v>165</v>
      </c>
      <c r="C47" s="124" t="s">
        <v>45</v>
      </c>
      <c r="D47" s="126">
        <v>1.45</v>
      </c>
      <c r="E47" s="134">
        <v>32.630000000000003</v>
      </c>
    </row>
    <row r="48" spans="1:6">
      <c r="A48" s="124" t="s">
        <v>412</v>
      </c>
      <c r="B48" s="125" t="s">
        <v>165</v>
      </c>
      <c r="C48" s="124" t="s">
        <v>45</v>
      </c>
      <c r="D48" s="126">
        <v>0.4</v>
      </c>
      <c r="E48" s="134">
        <v>9</v>
      </c>
    </row>
    <row r="49" spans="1:5">
      <c r="A49" s="127" t="s">
        <v>7</v>
      </c>
      <c r="B49" s="124"/>
      <c r="C49" s="124"/>
      <c r="D49" s="131">
        <f>SUM(D47:D48)</f>
        <v>1.85</v>
      </c>
      <c r="E49" s="135">
        <f>SUM(E47:E48)</f>
        <v>41.63</v>
      </c>
    </row>
    <row r="50" spans="1:5">
      <c r="A50" s="127"/>
      <c r="B50" s="124"/>
      <c r="C50" s="124"/>
      <c r="D50" s="131"/>
      <c r="E50" s="135"/>
    </row>
    <row r="51" spans="1:5">
      <c r="A51" s="124" t="s">
        <v>445</v>
      </c>
      <c r="B51" s="125" t="s">
        <v>167</v>
      </c>
      <c r="C51" s="124" t="s">
        <v>54</v>
      </c>
      <c r="D51" s="126">
        <v>3.68</v>
      </c>
      <c r="E51" s="134">
        <v>88.4</v>
      </c>
    </row>
    <row r="52" spans="1:5">
      <c r="A52" s="124" t="s">
        <v>345</v>
      </c>
      <c r="B52" s="125" t="s">
        <v>167</v>
      </c>
      <c r="C52" s="124" t="s">
        <v>54</v>
      </c>
      <c r="D52" s="126">
        <v>2.3199999999999998</v>
      </c>
      <c r="E52" s="134">
        <v>59.08</v>
      </c>
    </row>
    <row r="53" spans="1:5">
      <c r="A53" s="124" t="s">
        <v>421</v>
      </c>
      <c r="B53" s="125" t="s">
        <v>167</v>
      </c>
      <c r="C53" s="124" t="s">
        <v>54</v>
      </c>
      <c r="D53" s="126">
        <v>0.52</v>
      </c>
      <c r="E53" s="134">
        <v>13.95</v>
      </c>
    </row>
    <row r="54" spans="1:5">
      <c r="A54" s="124" t="s">
        <v>393</v>
      </c>
      <c r="B54" s="125" t="s">
        <v>167</v>
      </c>
      <c r="C54" s="124" t="s">
        <v>54</v>
      </c>
      <c r="D54" s="126">
        <v>0.27</v>
      </c>
      <c r="E54" s="134">
        <v>5.6</v>
      </c>
    </row>
    <row r="55" spans="1:5">
      <c r="A55" s="127" t="s">
        <v>7</v>
      </c>
      <c r="B55" s="125"/>
      <c r="C55" s="124"/>
      <c r="D55" s="131">
        <f>SUM(D51:D54)</f>
        <v>6.7899999999999991</v>
      </c>
      <c r="E55" s="135">
        <f>SUM(E51:E54)</f>
        <v>167.03</v>
      </c>
    </row>
    <row r="56" spans="1:5">
      <c r="A56" s="127"/>
      <c r="B56" s="125"/>
      <c r="C56" s="124"/>
      <c r="D56" s="131"/>
      <c r="E56" s="135"/>
    </row>
    <row r="57" spans="1:5">
      <c r="A57" s="124" t="s">
        <v>367</v>
      </c>
      <c r="B57" s="125" t="s">
        <v>171</v>
      </c>
      <c r="C57" s="124" t="s">
        <v>25</v>
      </c>
      <c r="D57" s="126">
        <v>1.63</v>
      </c>
      <c r="E57" s="134">
        <v>45.33</v>
      </c>
    </row>
    <row r="58" spans="1:5">
      <c r="A58" s="124" t="s">
        <v>424</v>
      </c>
      <c r="B58" s="125" t="s">
        <v>171</v>
      </c>
      <c r="C58" s="124" t="s">
        <v>25</v>
      </c>
      <c r="D58" s="126">
        <v>0.62</v>
      </c>
      <c r="E58" s="134">
        <v>21.57</v>
      </c>
    </row>
    <row r="59" spans="1:5">
      <c r="A59" s="124" t="s">
        <v>286</v>
      </c>
      <c r="B59" s="125" t="s">
        <v>171</v>
      </c>
      <c r="C59" s="124" t="s">
        <v>25</v>
      </c>
      <c r="D59" s="126">
        <v>0.37</v>
      </c>
      <c r="E59" s="134">
        <v>11</v>
      </c>
    </row>
    <row r="60" spans="1:5">
      <c r="A60" s="124" t="s">
        <v>436</v>
      </c>
      <c r="B60" s="125" t="s">
        <v>171</v>
      </c>
      <c r="C60" s="124" t="s">
        <v>25</v>
      </c>
      <c r="D60" s="126">
        <v>0.32</v>
      </c>
      <c r="E60" s="134">
        <v>9.5</v>
      </c>
    </row>
    <row r="61" spans="1:5">
      <c r="A61" s="124" t="s">
        <v>368</v>
      </c>
      <c r="B61" s="125" t="s">
        <v>171</v>
      </c>
      <c r="C61" s="124" t="s">
        <v>25</v>
      </c>
      <c r="D61" s="126">
        <v>3.13</v>
      </c>
      <c r="E61" s="134">
        <v>96.35</v>
      </c>
    </row>
    <row r="62" spans="1:5">
      <c r="A62" s="127" t="s">
        <v>7</v>
      </c>
      <c r="B62" s="124"/>
      <c r="C62" s="124"/>
      <c r="D62" s="131">
        <f>SUM(D57:D61)</f>
        <v>6.07</v>
      </c>
      <c r="E62" s="135">
        <f>SUM(E57:E61)</f>
        <v>183.75</v>
      </c>
    </row>
    <row r="63" spans="1:5">
      <c r="A63" s="127"/>
      <c r="B63" s="124"/>
      <c r="C63" s="124"/>
      <c r="D63" s="131"/>
      <c r="E63" s="135"/>
    </row>
    <row r="64" spans="1:5">
      <c r="A64" s="124" t="s">
        <v>394</v>
      </c>
      <c r="B64" s="125" t="s">
        <v>172</v>
      </c>
      <c r="C64" s="124" t="s">
        <v>348</v>
      </c>
      <c r="D64" s="126">
        <v>0.37</v>
      </c>
      <c r="E64" s="134">
        <v>12.83</v>
      </c>
    </row>
    <row r="65" spans="1:5">
      <c r="A65" s="124" t="s">
        <v>413</v>
      </c>
      <c r="B65" s="125" t="s">
        <v>172</v>
      </c>
      <c r="C65" s="124" t="s">
        <v>348</v>
      </c>
      <c r="D65" s="126">
        <v>0.56999999999999995</v>
      </c>
      <c r="E65" s="134">
        <v>19.41</v>
      </c>
    </row>
    <row r="66" spans="1:5">
      <c r="A66" s="127" t="s">
        <v>7</v>
      </c>
      <c r="B66" s="124"/>
      <c r="C66" s="124"/>
      <c r="D66" s="131">
        <f>SUM(D64:D65)</f>
        <v>0.94</v>
      </c>
      <c r="E66" s="135">
        <f>SUM(E64:E65)</f>
        <v>32.24</v>
      </c>
    </row>
    <row r="67" spans="1:5">
      <c r="A67" s="124"/>
      <c r="B67" s="124"/>
      <c r="C67" s="124"/>
      <c r="D67" s="126"/>
      <c r="E67" s="134"/>
    </row>
    <row r="68" spans="1:5">
      <c r="A68" s="124" t="s">
        <v>307</v>
      </c>
      <c r="B68" s="124">
        <v>100035</v>
      </c>
      <c r="C68" s="124" t="s">
        <v>332</v>
      </c>
      <c r="D68" s="126">
        <v>1.88</v>
      </c>
      <c r="E68" s="134">
        <v>70.819999999999993</v>
      </c>
    </row>
    <row r="69" spans="1:5">
      <c r="A69" s="124" t="s">
        <v>331</v>
      </c>
      <c r="B69" s="124">
        <v>100035</v>
      </c>
      <c r="C69" s="124" t="s">
        <v>332</v>
      </c>
      <c r="D69" s="126">
        <v>2.63</v>
      </c>
      <c r="E69" s="134">
        <v>84.37</v>
      </c>
    </row>
    <row r="70" spans="1:5">
      <c r="A70" s="127" t="s">
        <v>7</v>
      </c>
      <c r="B70" s="124"/>
      <c r="C70" s="124"/>
      <c r="D70" s="131">
        <f>SUM(D68:D69)</f>
        <v>4.51</v>
      </c>
      <c r="E70" s="135">
        <f>SUM(E68:E69)</f>
        <v>155.19</v>
      </c>
    </row>
    <row r="71" spans="1:5">
      <c r="A71" s="127"/>
      <c r="B71" s="124"/>
      <c r="C71" s="124"/>
      <c r="D71" s="126"/>
      <c r="E71" s="134"/>
    </row>
    <row r="72" spans="1:5">
      <c r="A72" s="124" t="s">
        <v>433</v>
      </c>
      <c r="B72" s="124">
        <v>100051</v>
      </c>
      <c r="C72" s="124" t="s">
        <v>34</v>
      </c>
      <c r="D72" s="126">
        <v>1.67</v>
      </c>
      <c r="E72" s="134">
        <v>33.75</v>
      </c>
    </row>
    <row r="73" spans="1:5">
      <c r="A73" s="124" t="s">
        <v>39</v>
      </c>
      <c r="B73" s="124">
        <v>100051</v>
      </c>
      <c r="C73" s="124" t="s">
        <v>34</v>
      </c>
      <c r="D73" s="126">
        <v>1.72</v>
      </c>
      <c r="E73" s="134">
        <v>39.909999999999997</v>
      </c>
    </row>
    <row r="74" spans="1:5">
      <c r="A74" s="127" t="s">
        <v>7</v>
      </c>
      <c r="B74" s="124"/>
      <c r="C74" s="124"/>
      <c r="D74" s="131">
        <f>SUM(D72:D73)</f>
        <v>3.3899999999999997</v>
      </c>
      <c r="E74" s="135">
        <f>SUM(E72:E73)</f>
        <v>73.66</v>
      </c>
    </row>
    <row r="75" spans="1:5">
      <c r="A75" s="127"/>
      <c r="B75" s="124"/>
      <c r="C75" s="124"/>
      <c r="D75" s="131"/>
      <c r="E75" s="135"/>
    </row>
    <row r="76" spans="1:5">
      <c r="A76" s="124" t="s">
        <v>446</v>
      </c>
      <c r="B76" s="124">
        <v>450046</v>
      </c>
      <c r="C76" s="124" t="s">
        <v>447</v>
      </c>
      <c r="D76" s="126">
        <v>0.55000000000000004</v>
      </c>
      <c r="E76" s="134">
        <v>16.5</v>
      </c>
    </row>
    <row r="77" spans="1:5">
      <c r="A77" s="127" t="s">
        <v>7</v>
      </c>
      <c r="B77" s="124"/>
      <c r="C77" s="124"/>
      <c r="D77" s="131">
        <v>0.55000000000000004</v>
      </c>
      <c r="E77" s="135">
        <v>16.5</v>
      </c>
    </row>
    <row r="78" spans="1:5">
      <c r="A78" s="127"/>
      <c r="B78" s="124"/>
      <c r="C78" s="124"/>
      <c r="D78" s="131"/>
      <c r="E78" s="135"/>
    </row>
    <row r="79" spans="1:5">
      <c r="A79" s="124" t="s">
        <v>427</v>
      </c>
      <c r="B79" s="124">
        <v>450051</v>
      </c>
      <c r="C79" s="124" t="s">
        <v>104</v>
      </c>
      <c r="D79" s="126">
        <v>0.56999999999999995</v>
      </c>
      <c r="E79" s="134">
        <v>11.05</v>
      </c>
    </row>
    <row r="80" spans="1:5">
      <c r="A80" s="127" t="s">
        <v>7</v>
      </c>
      <c r="B80" s="124"/>
      <c r="C80" s="124"/>
      <c r="D80" s="131">
        <v>0.56999999999999995</v>
      </c>
      <c r="E80" s="135">
        <v>11.05</v>
      </c>
    </row>
    <row r="81" spans="1:5">
      <c r="A81" s="127"/>
      <c r="B81" s="124"/>
      <c r="C81" s="124"/>
      <c r="D81" s="131"/>
      <c r="E81" s="135"/>
    </row>
    <row r="82" spans="1:5">
      <c r="A82" s="124" t="s">
        <v>244</v>
      </c>
      <c r="B82" s="124">
        <v>400020</v>
      </c>
      <c r="C82" s="124" t="s">
        <v>98</v>
      </c>
      <c r="D82" s="126">
        <v>1.02</v>
      </c>
      <c r="E82" s="134">
        <v>24.64</v>
      </c>
    </row>
    <row r="83" spans="1:5">
      <c r="A83" s="124" t="s">
        <v>434</v>
      </c>
      <c r="B83" s="124">
        <v>400020</v>
      </c>
      <c r="C83" s="124" t="s">
        <v>98</v>
      </c>
      <c r="D83" s="126">
        <v>1.67</v>
      </c>
      <c r="E83" s="134">
        <v>52.03</v>
      </c>
    </row>
    <row r="84" spans="1:5">
      <c r="A84" s="127" t="s">
        <v>7</v>
      </c>
      <c r="B84" s="124"/>
      <c r="C84" s="124"/>
      <c r="D84" s="131">
        <f>SUM(D82:D83)</f>
        <v>2.69</v>
      </c>
      <c r="E84" s="135">
        <f>SUM(E82:E83)</f>
        <v>76.67</v>
      </c>
    </row>
    <row r="85" spans="1:5">
      <c r="A85" s="127"/>
      <c r="B85" s="124"/>
      <c r="C85" s="124"/>
      <c r="D85" s="131"/>
      <c r="E85" s="135"/>
    </row>
    <row r="86" spans="1:5">
      <c r="A86" s="151" t="s">
        <v>41</v>
      </c>
      <c r="B86" s="151">
        <v>550052</v>
      </c>
      <c r="C86" s="151" t="s">
        <v>284</v>
      </c>
      <c r="D86" s="152">
        <v>29.75</v>
      </c>
      <c r="E86" s="153">
        <v>736.31</v>
      </c>
    </row>
    <row r="87" spans="1:5">
      <c r="A87" s="127" t="s">
        <v>7</v>
      </c>
      <c r="B87" s="124"/>
      <c r="C87" s="124"/>
      <c r="D87" s="131">
        <v>29.75</v>
      </c>
      <c r="E87" s="135">
        <v>736.31</v>
      </c>
    </row>
    <row r="88" spans="1:5">
      <c r="A88" s="127"/>
      <c r="B88" s="124"/>
      <c r="C88" s="124"/>
      <c r="D88" s="131"/>
      <c r="E88" s="135"/>
    </row>
    <row r="89" spans="1:5">
      <c r="A89" s="122" t="s">
        <v>194</v>
      </c>
      <c r="B89" s="123"/>
      <c r="C89" s="123"/>
      <c r="D89" s="131">
        <v>235.53</v>
      </c>
      <c r="E89" s="135">
        <v>6059.34</v>
      </c>
    </row>
    <row r="90" spans="1:5">
      <c r="A90" s="127"/>
      <c r="B90" s="124"/>
      <c r="C90" s="124"/>
      <c r="D90" s="131"/>
      <c r="E90" s="129"/>
    </row>
  </sheetData>
  <mergeCells count="1">
    <mergeCell ref="G4:K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K101"/>
  <sheetViews>
    <sheetView topLeftCell="A73" workbookViewId="0">
      <selection activeCell="F6" activeCellId="2" sqref="F4 F5 F6"/>
    </sheetView>
  </sheetViews>
  <sheetFormatPr defaultRowHeight="12.75"/>
  <cols>
    <col min="1" max="1" width="19.42578125" bestFit="1" customWidth="1"/>
    <col min="2" max="2" width="23.140625" bestFit="1" customWidth="1"/>
    <col min="3" max="3" width="28.7109375" bestFit="1" customWidth="1"/>
    <col min="4" max="4" width="20.42578125" bestFit="1" customWidth="1"/>
    <col min="5" max="5" width="23.28515625" style="155" customWidth="1"/>
    <col min="6" max="6" width="19.5703125" customWidth="1"/>
    <col min="7" max="7" width="10.85546875" bestFit="1" customWidth="1"/>
    <col min="8" max="8" width="17.28515625" bestFit="1" customWidth="1"/>
    <col min="9" max="9" width="10" bestFit="1" customWidth="1"/>
    <col min="10" max="10" width="11.140625" bestFit="1" customWidth="1"/>
  </cols>
  <sheetData>
    <row r="1" spans="1:11">
      <c r="A1" s="122" t="s">
        <v>147</v>
      </c>
      <c r="B1" s="122" t="s">
        <v>148</v>
      </c>
      <c r="C1" s="122" t="s">
        <v>149</v>
      </c>
      <c r="D1" s="122" t="s">
        <v>150</v>
      </c>
      <c r="E1" s="154" t="s">
        <v>151</v>
      </c>
      <c r="F1" s="11" t="s">
        <v>440</v>
      </c>
      <c r="G1" s="38" t="s">
        <v>259</v>
      </c>
      <c r="H1" s="88" t="s">
        <v>334</v>
      </c>
      <c r="I1" s="40" t="s">
        <v>260</v>
      </c>
      <c r="J1" s="119" t="s">
        <v>262</v>
      </c>
      <c r="K1" s="39" t="s">
        <v>261</v>
      </c>
    </row>
    <row r="2" spans="1:11">
      <c r="A2" s="124" t="s">
        <v>366</v>
      </c>
      <c r="B2" s="125" t="s">
        <v>152</v>
      </c>
      <c r="C2" s="124" t="s">
        <v>15</v>
      </c>
      <c r="D2" s="126">
        <v>1.95</v>
      </c>
      <c r="E2" s="134">
        <v>50.72</v>
      </c>
      <c r="F2" s="20"/>
      <c r="G2" s="13">
        <f>E18+E22+E23+E24+E25+E28+E29+E30+E32+E35+E36+E38+E39+E40+E44+E47+E50+E51</f>
        <v>6249.0300000000016</v>
      </c>
      <c r="H2" s="89">
        <f>E4+E5+E6</f>
        <v>1408.11</v>
      </c>
      <c r="I2" s="66">
        <v>0</v>
      </c>
      <c r="J2" s="120">
        <v>0</v>
      </c>
      <c r="K2" s="16">
        <f>E98</f>
        <v>706.61</v>
      </c>
    </row>
    <row r="3" spans="1:11">
      <c r="A3" s="124" t="s">
        <v>389</v>
      </c>
      <c r="B3" s="125" t="s">
        <v>152</v>
      </c>
      <c r="C3" s="124" t="s">
        <v>15</v>
      </c>
      <c r="D3" s="126">
        <v>0.13</v>
      </c>
      <c r="E3" s="134">
        <v>3.85</v>
      </c>
      <c r="F3" s="18"/>
      <c r="G3" s="18"/>
      <c r="H3" s="18"/>
      <c r="I3" s="18"/>
      <c r="J3" s="18"/>
      <c r="K3" s="18"/>
    </row>
    <row r="4" spans="1:11">
      <c r="A4" s="136" t="s">
        <v>18</v>
      </c>
      <c r="B4" s="136" t="s">
        <v>152</v>
      </c>
      <c r="C4" s="136" t="s">
        <v>15</v>
      </c>
      <c r="D4" s="137">
        <v>30.3</v>
      </c>
      <c r="E4" s="138">
        <v>843.55</v>
      </c>
      <c r="F4" t="s">
        <v>310</v>
      </c>
      <c r="G4" s="305" t="s">
        <v>263</v>
      </c>
      <c r="H4" s="305"/>
      <c r="I4" s="305"/>
      <c r="J4" s="305"/>
      <c r="K4" s="305"/>
    </row>
    <row r="5" spans="1:11">
      <c r="A5" s="136" t="s">
        <v>377</v>
      </c>
      <c r="B5" s="139" t="s">
        <v>152</v>
      </c>
      <c r="C5" s="136" t="s">
        <v>15</v>
      </c>
      <c r="D5" s="137">
        <v>4.2</v>
      </c>
      <c r="E5" s="138">
        <v>137.72</v>
      </c>
      <c r="F5" t="s">
        <v>310</v>
      </c>
    </row>
    <row r="6" spans="1:11">
      <c r="A6" s="136" t="s">
        <v>397</v>
      </c>
      <c r="B6" s="139" t="s">
        <v>152</v>
      </c>
      <c r="C6" s="136" t="s">
        <v>15</v>
      </c>
      <c r="D6" s="137">
        <v>13.77</v>
      </c>
      <c r="E6" s="138">
        <v>426.84</v>
      </c>
      <c r="F6" t="s">
        <v>310</v>
      </c>
    </row>
    <row r="7" spans="1:11">
      <c r="A7" s="124" t="s">
        <v>426</v>
      </c>
      <c r="B7" s="125">
        <v>290020</v>
      </c>
      <c r="C7" s="124" t="s">
        <v>373</v>
      </c>
      <c r="D7" s="126">
        <v>0.02</v>
      </c>
      <c r="E7" s="134">
        <v>0.54</v>
      </c>
    </row>
    <row r="8" spans="1:11">
      <c r="A8" s="127" t="s">
        <v>7</v>
      </c>
      <c r="B8" s="124"/>
      <c r="C8" s="124"/>
      <c r="D8" s="131">
        <f>SUM(D2:D7)</f>
        <v>50.370000000000012</v>
      </c>
      <c r="E8" s="135">
        <f>SUM(E2:E7)</f>
        <v>1463.2199999999998</v>
      </c>
    </row>
    <row r="9" spans="1:11">
      <c r="A9" s="127"/>
      <c r="B9" s="124"/>
      <c r="C9" s="124"/>
      <c r="D9" s="131"/>
      <c r="E9" s="135"/>
    </row>
    <row r="10" spans="1:11">
      <c r="A10" s="124" t="s">
        <v>390</v>
      </c>
      <c r="B10" s="125" t="s">
        <v>217</v>
      </c>
      <c r="C10" s="124" t="s">
        <v>218</v>
      </c>
      <c r="D10" s="126">
        <v>0.62</v>
      </c>
      <c r="E10" s="134">
        <v>16.649999999999999</v>
      </c>
    </row>
    <row r="11" spans="1:11">
      <c r="A11" s="127" t="s">
        <v>7</v>
      </c>
      <c r="B11" s="124"/>
      <c r="C11" s="124"/>
      <c r="D11" s="131">
        <f>SUM(D10)</f>
        <v>0.62</v>
      </c>
      <c r="E11" s="135">
        <f>SUM(E10)</f>
        <v>16.649999999999999</v>
      </c>
    </row>
    <row r="12" spans="1:11">
      <c r="A12" s="127"/>
      <c r="B12" s="124"/>
      <c r="C12" s="124"/>
      <c r="D12" s="131"/>
      <c r="E12" s="135"/>
    </row>
    <row r="13" spans="1:11">
      <c r="A13" s="124" t="s">
        <v>398</v>
      </c>
      <c r="B13" s="125">
        <v>200035</v>
      </c>
      <c r="C13" s="124" t="s">
        <v>23</v>
      </c>
      <c r="D13" s="126">
        <v>1.57</v>
      </c>
      <c r="E13" s="134">
        <v>45.19</v>
      </c>
    </row>
    <row r="14" spans="1:11">
      <c r="A14" s="127" t="s">
        <v>7</v>
      </c>
      <c r="B14" s="124"/>
      <c r="C14" s="124"/>
      <c r="D14" s="131">
        <f>SUM(D13:D13)</f>
        <v>1.57</v>
      </c>
      <c r="E14" s="135">
        <f>SUM(E13:E13)</f>
        <v>45.19</v>
      </c>
    </row>
    <row r="15" spans="1:11">
      <c r="A15" s="127"/>
      <c r="B15" s="125"/>
      <c r="C15" s="124"/>
      <c r="D15" s="131"/>
      <c r="E15" s="135"/>
    </row>
    <row r="16" spans="1:11">
      <c r="A16" s="124" t="s">
        <v>335</v>
      </c>
      <c r="B16" s="125" t="s">
        <v>156</v>
      </c>
      <c r="C16" s="124" t="s">
        <v>91</v>
      </c>
      <c r="D16" s="126">
        <v>3</v>
      </c>
      <c r="E16" s="134">
        <v>90</v>
      </c>
    </row>
    <row r="17" spans="1:6">
      <c r="A17" s="124" t="s">
        <v>92</v>
      </c>
      <c r="B17" s="125" t="s">
        <v>156</v>
      </c>
      <c r="C17" s="124" t="s">
        <v>91</v>
      </c>
      <c r="D17" s="126">
        <v>1.6</v>
      </c>
      <c r="E17" s="134">
        <v>44.04</v>
      </c>
    </row>
    <row r="18" spans="1:6">
      <c r="A18" s="148" t="s">
        <v>417</v>
      </c>
      <c r="B18" s="149" t="s">
        <v>156</v>
      </c>
      <c r="C18" s="148" t="s">
        <v>91</v>
      </c>
      <c r="D18" s="142">
        <v>5.47</v>
      </c>
      <c r="E18" s="143">
        <v>135.72</v>
      </c>
      <c r="F18" t="s">
        <v>310</v>
      </c>
    </row>
    <row r="19" spans="1:6">
      <c r="A19" s="127" t="s">
        <v>7</v>
      </c>
      <c r="B19" s="124"/>
      <c r="C19" s="124"/>
      <c r="D19" s="131">
        <f>SUM(D16:D18)</f>
        <v>10.07</v>
      </c>
      <c r="E19" s="135">
        <f>SUM(E16:E18)</f>
        <v>269.76</v>
      </c>
    </row>
    <row r="20" spans="1:6">
      <c r="A20" s="124"/>
      <c r="B20" s="124"/>
      <c r="C20" s="124"/>
      <c r="D20" s="126"/>
      <c r="E20" s="134"/>
    </row>
    <row r="21" spans="1:6">
      <c r="A21" s="124" t="s">
        <v>448</v>
      </c>
      <c r="B21" s="125" t="s">
        <v>157</v>
      </c>
      <c r="C21" s="124" t="s">
        <v>66</v>
      </c>
      <c r="D21" s="126">
        <v>3.2</v>
      </c>
      <c r="E21" s="134">
        <v>76.8</v>
      </c>
    </row>
    <row r="22" spans="1:6">
      <c r="A22" s="140" t="s">
        <v>391</v>
      </c>
      <c r="B22" s="141" t="s">
        <v>157</v>
      </c>
      <c r="C22" s="140" t="s">
        <v>66</v>
      </c>
      <c r="D22" s="142">
        <v>9.4</v>
      </c>
      <c r="E22" s="143">
        <v>225.6</v>
      </c>
      <c r="F22" t="s">
        <v>310</v>
      </c>
    </row>
    <row r="23" spans="1:6">
      <c r="A23" s="140" t="s">
        <v>175</v>
      </c>
      <c r="B23" s="141" t="s">
        <v>157</v>
      </c>
      <c r="C23" s="140" t="s">
        <v>66</v>
      </c>
      <c r="D23" s="142">
        <v>20</v>
      </c>
      <c r="E23" s="143">
        <v>405</v>
      </c>
      <c r="F23" t="s">
        <v>310</v>
      </c>
    </row>
    <row r="24" spans="1:6">
      <c r="A24" s="140" t="s">
        <v>228</v>
      </c>
      <c r="B24" s="141" t="s">
        <v>157</v>
      </c>
      <c r="C24" s="140" t="s">
        <v>66</v>
      </c>
      <c r="D24" s="142">
        <v>11</v>
      </c>
      <c r="E24" s="143">
        <v>264</v>
      </c>
      <c r="F24" t="s">
        <v>310</v>
      </c>
    </row>
    <row r="25" spans="1:6">
      <c r="A25" s="140" t="s">
        <v>410</v>
      </c>
      <c r="B25" s="141" t="s">
        <v>157</v>
      </c>
      <c r="C25" s="140" t="s">
        <v>66</v>
      </c>
      <c r="D25" s="142">
        <v>9.75</v>
      </c>
      <c r="E25" s="143">
        <v>204.75</v>
      </c>
      <c r="F25" t="s">
        <v>310</v>
      </c>
    </row>
    <row r="26" spans="1:6">
      <c r="A26" s="124" t="s">
        <v>449</v>
      </c>
      <c r="B26" s="125" t="s">
        <v>157</v>
      </c>
      <c r="C26" s="124" t="s">
        <v>66</v>
      </c>
      <c r="D26" s="126">
        <v>1.37</v>
      </c>
      <c r="E26" s="134">
        <v>32.799999999999997</v>
      </c>
    </row>
    <row r="27" spans="1:6">
      <c r="A27" s="124" t="s">
        <v>75</v>
      </c>
      <c r="B27" s="125" t="s">
        <v>157</v>
      </c>
      <c r="C27" s="124" t="s">
        <v>66</v>
      </c>
      <c r="D27" s="126">
        <v>3.72</v>
      </c>
      <c r="E27" s="134">
        <v>89.2</v>
      </c>
    </row>
    <row r="28" spans="1:6">
      <c r="A28" s="140" t="s">
        <v>210</v>
      </c>
      <c r="B28" s="141" t="s">
        <v>157</v>
      </c>
      <c r="C28" s="140" t="s">
        <v>66</v>
      </c>
      <c r="D28" s="142">
        <v>20.27</v>
      </c>
      <c r="E28" s="143">
        <v>501.6</v>
      </c>
      <c r="F28" t="s">
        <v>310</v>
      </c>
    </row>
    <row r="29" spans="1:6">
      <c r="A29" s="140" t="s">
        <v>267</v>
      </c>
      <c r="B29" s="141" t="s">
        <v>157</v>
      </c>
      <c r="C29" s="140" t="s">
        <v>66</v>
      </c>
      <c r="D29" s="142">
        <v>4.67</v>
      </c>
      <c r="E29" s="143">
        <v>115.5</v>
      </c>
      <c r="F29" t="s">
        <v>310</v>
      </c>
    </row>
    <row r="30" spans="1:6">
      <c r="A30" s="140" t="s">
        <v>450</v>
      </c>
      <c r="B30" s="141" t="s">
        <v>157</v>
      </c>
      <c r="C30" s="140" t="s">
        <v>66</v>
      </c>
      <c r="D30" s="142">
        <v>5.93</v>
      </c>
      <c r="E30" s="143">
        <v>142.4</v>
      </c>
      <c r="F30" t="s">
        <v>310</v>
      </c>
    </row>
    <row r="31" spans="1:6">
      <c r="A31" s="124" t="s">
        <v>86</v>
      </c>
      <c r="B31" s="125" t="s">
        <v>157</v>
      </c>
      <c r="C31" s="124" t="s">
        <v>66</v>
      </c>
      <c r="D31" s="126">
        <v>1.23</v>
      </c>
      <c r="E31" s="134">
        <v>31.45</v>
      </c>
    </row>
    <row r="32" spans="1:6">
      <c r="A32" s="148" t="s">
        <v>292</v>
      </c>
      <c r="B32" s="149" t="s">
        <v>157</v>
      </c>
      <c r="C32" s="148" t="s">
        <v>66</v>
      </c>
      <c r="D32" s="150">
        <v>6.1</v>
      </c>
      <c r="E32" s="143">
        <v>146.4</v>
      </c>
      <c r="F32" t="s">
        <v>310</v>
      </c>
    </row>
    <row r="33" spans="1:6">
      <c r="A33" s="123" t="s">
        <v>429</v>
      </c>
      <c r="B33" s="132" t="s">
        <v>157</v>
      </c>
      <c r="C33" s="123" t="s">
        <v>66</v>
      </c>
      <c r="D33" s="133">
        <v>2.2999999999999998</v>
      </c>
      <c r="E33" s="134">
        <v>55.2</v>
      </c>
    </row>
    <row r="34" spans="1:6">
      <c r="A34" s="123" t="s">
        <v>85</v>
      </c>
      <c r="B34" s="132" t="s">
        <v>157</v>
      </c>
      <c r="C34" s="123" t="s">
        <v>66</v>
      </c>
      <c r="D34" s="123">
        <v>2.4700000000000002</v>
      </c>
      <c r="E34" s="134">
        <v>61.05</v>
      </c>
    </row>
    <row r="35" spans="1:6">
      <c r="A35" s="148" t="s">
        <v>159</v>
      </c>
      <c r="B35" s="149" t="s">
        <v>157</v>
      </c>
      <c r="C35" s="148" t="s">
        <v>66</v>
      </c>
      <c r="D35" s="150">
        <v>8.33</v>
      </c>
      <c r="E35" s="143">
        <v>200</v>
      </c>
      <c r="F35" t="s">
        <v>310</v>
      </c>
    </row>
    <row r="36" spans="1:6">
      <c r="A36" s="148" t="s">
        <v>88</v>
      </c>
      <c r="B36" s="149" t="s">
        <v>157</v>
      </c>
      <c r="C36" s="148" t="s">
        <v>66</v>
      </c>
      <c r="D36" s="150">
        <v>6.43</v>
      </c>
      <c r="E36" s="143">
        <v>159.22999999999999</v>
      </c>
      <c r="F36" t="s">
        <v>310</v>
      </c>
    </row>
    <row r="37" spans="1:6">
      <c r="A37" s="123" t="s">
        <v>407</v>
      </c>
      <c r="B37" s="132" t="s">
        <v>157</v>
      </c>
      <c r="C37" s="123" t="s">
        <v>66</v>
      </c>
      <c r="D37" s="133">
        <v>3.38</v>
      </c>
      <c r="E37" s="134">
        <v>81.2</v>
      </c>
    </row>
    <row r="38" spans="1:6">
      <c r="A38" s="148" t="s">
        <v>328</v>
      </c>
      <c r="B38" s="149" t="s">
        <v>157</v>
      </c>
      <c r="C38" s="148" t="s">
        <v>66</v>
      </c>
      <c r="D38" s="150">
        <v>17.57</v>
      </c>
      <c r="E38" s="143">
        <v>434.78</v>
      </c>
      <c r="F38" t="s">
        <v>310</v>
      </c>
    </row>
    <row r="39" spans="1:6">
      <c r="A39" s="140" t="s">
        <v>422</v>
      </c>
      <c r="B39" s="141" t="s">
        <v>157</v>
      </c>
      <c r="C39" s="140" t="s">
        <v>66</v>
      </c>
      <c r="D39" s="142">
        <v>33.97</v>
      </c>
      <c r="E39" s="143">
        <v>968.05</v>
      </c>
      <c r="F39" t="s">
        <v>310</v>
      </c>
    </row>
    <row r="40" spans="1:6">
      <c r="A40" s="148" t="s">
        <v>79</v>
      </c>
      <c r="B40" s="149" t="s">
        <v>157</v>
      </c>
      <c r="C40" s="148" t="s">
        <v>66</v>
      </c>
      <c r="D40" s="148">
        <v>51.5</v>
      </c>
      <c r="E40" s="143">
        <v>1236</v>
      </c>
      <c r="F40" t="s">
        <v>310</v>
      </c>
    </row>
    <row r="41" spans="1:6">
      <c r="A41" s="123" t="s">
        <v>451</v>
      </c>
      <c r="B41" s="132" t="s">
        <v>157</v>
      </c>
      <c r="C41" s="123" t="s">
        <v>66</v>
      </c>
      <c r="D41" s="123">
        <v>0.25</v>
      </c>
      <c r="E41" s="134">
        <v>6</v>
      </c>
    </row>
    <row r="42" spans="1:6">
      <c r="A42" s="123" t="s">
        <v>401</v>
      </c>
      <c r="B42" s="132" t="s">
        <v>157</v>
      </c>
      <c r="C42" s="123" t="s">
        <v>66</v>
      </c>
      <c r="D42" s="123">
        <v>0.02</v>
      </c>
      <c r="E42" s="134">
        <v>0.4</v>
      </c>
    </row>
    <row r="43" spans="1:6">
      <c r="A43" s="123" t="s">
        <v>430</v>
      </c>
      <c r="B43" s="132" t="s">
        <v>157</v>
      </c>
      <c r="C43" s="123" t="s">
        <v>66</v>
      </c>
      <c r="D43" s="123">
        <v>3.87</v>
      </c>
      <c r="E43" s="134">
        <v>92.8</v>
      </c>
    </row>
    <row r="44" spans="1:6">
      <c r="A44" s="148" t="s">
        <v>375</v>
      </c>
      <c r="B44" s="149" t="s">
        <v>157</v>
      </c>
      <c r="C44" s="148" t="s">
        <v>66</v>
      </c>
      <c r="D44" s="148">
        <v>10.029999999999999</v>
      </c>
      <c r="E44" s="143">
        <v>240.8</v>
      </c>
      <c r="F44" t="s">
        <v>310</v>
      </c>
    </row>
    <row r="45" spans="1:6">
      <c r="A45" s="127" t="s">
        <v>7</v>
      </c>
      <c r="B45" s="124"/>
      <c r="C45" s="124"/>
      <c r="D45" s="131">
        <f>SUM(D21:D44)</f>
        <v>236.76</v>
      </c>
      <c r="E45" s="135">
        <f>SUM(E21:E44)</f>
        <v>5771.01</v>
      </c>
    </row>
    <row r="46" spans="1:6">
      <c r="A46" s="127"/>
      <c r="B46" s="124"/>
      <c r="C46" s="124"/>
      <c r="D46" s="131"/>
      <c r="E46" s="135"/>
    </row>
    <row r="47" spans="1:6">
      <c r="A47" s="140" t="s">
        <v>163</v>
      </c>
      <c r="B47" s="141" t="s">
        <v>162</v>
      </c>
      <c r="C47" s="140" t="s">
        <v>51</v>
      </c>
      <c r="D47" s="142">
        <v>20.27</v>
      </c>
      <c r="E47" s="143">
        <v>577.6</v>
      </c>
      <c r="F47" t="s">
        <v>310</v>
      </c>
    </row>
    <row r="48" spans="1:6">
      <c r="A48" s="127" t="s">
        <v>7</v>
      </c>
      <c r="B48" s="125"/>
      <c r="C48" s="124"/>
      <c r="D48" s="131">
        <f>SUM(D47)</f>
        <v>20.27</v>
      </c>
      <c r="E48" s="135">
        <f>SUM(E47)</f>
        <v>577.6</v>
      </c>
    </row>
    <row r="49" spans="1:6">
      <c r="A49" s="127"/>
      <c r="B49" s="124"/>
      <c r="C49" s="124"/>
      <c r="D49" s="131"/>
      <c r="E49" s="135"/>
    </row>
    <row r="50" spans="1:6">
      <c r="A50" s="140" t="s">
        <v>203</v>
      </c>
      <c r="B50" s="141" t="s">
        <v>164</v>
      </c>
      <c r="C50" s="140" t="s">
        <v>60</v>
      </c>
      <c r="D50" s="142">
        <v>4.0999999999999996</v>
      </c>
      <c r="E50" s="143">
        <v>86.1</v>
      </c>
      <c r="F50" t="s">
        <v>310</v>
      </c>
    </row>
    <row r="51" spans="1:6">
      <c r="A51" s="140" t="s">
        <v>411</v>
      </c>
      <c r="B51" s="141" t="s">
        <v>164</v>
      </c>
      <c r="C51" s="140" t="s">
        <v>60</v>
      </c>
      <c r="D51" s="142">
        <v>6.85</v>
      </c>
      <c r="E51" s="143">
        <v>205.5</v>
      </c>
      <c r="F51" t="s">
        <v>310</v>
      </c>
    </row>
    <row r="52" spans="1:6">
      <c r="A52" s="124" t="s">
        <v>64</v>
      </c>
      <c r="B52" s="125" t="s">
        <v>164</v>
      </c>
      <c r="C52" s="124" t="s">
        <v>60</v>
      </c>
      <c r="D52" s="126">
        <v>2.77</v>
      </c>
      <c r="E52" s="134">
        <v>58.1</v>
      </c>
    </row>
    <row r="53" spans="1:6">
      <c r="A53" s="127" t="s">
        <v>7</v>
      </c>
      <c r="B53" s="124"/>
      <c r="C53" s="124"/>
      <c r="D53" s="131">
        <f>SUM(D50:D52)</f>
        <v>13.719999999999999</v>
      </c>
      <c r="E53" s="135">
        <f>SUM(E50:E52)</f>
        <v>349.70000000000005</v>
      </c>
    </row>
    <row r="54" spans="1:6">
      <c r="A54" s="127"/>
      <c r="B54" s="124"/>
      <c r="C54" s="124"/>
      <c r="D54" s="131"/>
      <c r="E54" s="135"/>
    </row>
    <row r="55" spans="1:6">
      <c r="A55" s="124" t="s">
        <v>412</v>
      </c>
      <c r="B55" s="125" t="s">
        <v>165</v>
      </c>
      <c r="C55" s="124" t="s">
        <v>45</v>
      </c>
      <c r="D55" s="126">
        <v>2.38</v>
      </c>
      <c r="E55" s="134">
        <v>53.63</v>
      </c>
    </row>
    <row r="56" spans="1:6">
      <c r="A56" s="127" t="s">
        <v>7</v>
      </c>
      <c r="B56" s="124"/>
      <c r="C56" s="124"/>
      <c r="D56" s="131">
        <f>SUM(D55:D55)</f>
        <v>2.38</v>
      </c>
      <c r="E56" s="135">
        <f>SUM(E55:E55)</f>
        <v>53.63</v>
      </c>
    </row>
    <row r="57" spans="1:6">
      <c r="A57" s="127"/>
      <c r="B57" s="124"/>
      <c r="C57" s="124"/>
      <c r="D57" s="131"/>
      <c r="E57" s="135"/>
    </row>
    <row r="58" spans="1:6">
      <c r="A58" s="124" t="s">
        <v>345</v>
      </c>
      <c r="B58" s="125" t="s">
        <v>167</v>
      </c>
      <c r="C58" s="124" t="s">
        <v>54</v>
      </c>
      <c r="D58" s="126">
        <v>3.32</v>
      </c>
      <c r="E58" s="134">
        <v>84.58</v>
      </c>
    </row>
    <row r="59" spans="1:6">
      <c r="A59" s="124" t="s">
        <v>421</v>
      </c>
      <c r="B59" s="125" t="s">
        <v>167</v>
      </c>
      <c r="C59" s="124" t="s">
        <v>54</v>
      </c>
      <c r="D59" s="126">
        <v>0.67</v>
      </c>
      <c r="E59" s="134">
        <v>18</v>
      </c>
    </row>
    <row r="60" spans="1:6">
      <c r="A60" s="124" t="s">
        <v>393</v>
      </c>
      <c r="B60" s="125" t="s">
        <v>167</v>
      </c>
      <c r="C60" s="124" t="s">
        <v>54</v>
      </c>
      <c r="D60" s="126">
        <v>0.83</v>
      </c>
      <c r="E60" s="134">
        <v>17.5</v>
      </c>
    </row>
    <row r="61" spans="1:6">
      <c r="A61" s="127" t="s">
        <v>7</v>
      </c>
      <c r="B61" s="125"/>
      <c r="C61" s="124"/>
      <c r="D61" s="131">
        <f>SUM(D58:D60)</f>
        <v>4.8199999999999994</v>
      </c>
      <c r="E61" s="135">
        <f>SUM(E58:E60)</f>
        <v>120.08</v>
      </c>
    </row>
    <row r="62" spans="1:6">
      <c r="A62" s="127"/>
      <c r="B62" s="125"/>
      <c r="C62" s="124"/>
      <c r="D62" s="131"/>
      <c r="E62" s="135"/>
    </row>
    <row r="63" spans="1:6">
      <c r="A63" s="124" t="s">
        <v>423</v>
      </c>
      <c r="B63" s="125" t="s">
        <v>240</v>
      </c>
      <c r="C63" s="124" t="s">
        <v>241</v>
      </c>
      <c r="D63" s="126">
        <v>0.25</v>
      </c>
      <c r="E63" s="134">
        <v>8.11</v>
      </c>
    </row>
    <row r="64" spans="1:6">
      <c r="A64" s="127" t="s">
        <v>7</v>
      </c>
      <c r="B64" s="125"/>
      <c r="C64" s="124"/>
      <c r="D64" s="131">
        <f>SUM(D63)</f>
        <v>0.25</v>
      </c>
      <c r="E64" s="135">
        <f>SUM(E63)</f>
        <v>8.11</v>
      </c>
    </row>
    <row r="65" spans="1:6">
      <c r="A65" s="127"/>
      <c r="B65" s="125"/>
      <c r="C65" s="124"/>
      <c r="D65" s="131"/>
      <c r="E65" s="135"/>
    </row>
    <row r="66" spans="1:6">
      <c r="A66" s="124" t="s">
        <v>424</v>
      </c>
      <c r="B66" s="125" t="s">
        <v>171</v>
      </c>
      <c r="C66" s="124" t="s">
        <v>25</v>
      </c>
      <c r="D66" s="126">
        <v>0.62</v>
      </c>
      <c r="E66" s="134">
        <v>21.57</v>
      </c>
    </row>
    <row r="67" spans="1:6">
      <c r="A67" s="124" t="s">
        <v>286</v>
      </c>
      <c r="B67" s="125" t="s">
        <v>171</v>
      </c>
      <c r="C67" s="124" t="s">
        <v>25</v>
      </c>
      <c r="D67" s="126">
        <v>0.8</v>
      </c>
      <c r="E67" s="134">
        <v>24</v>
      </c>
    </row>
    <row r="68" spans="1:6">
      <c r="A68" s="124" t="s">
        <v>436</v>
      </c>
      <c r="B68" s="125" t="s">
        <v>171</v>
      </c>
      <c r="C68" s="124" t="s">
        <v>25</v>
      </c>
      <c r="D68" s="126">
        <v>0.12</v>
      </c>
      <c r="E68" s="134">
        <v>3.5</v>
      </c>
    </row>
    <row r="69" spans="1:6">
      <c r="A69" s="124" t="s">
        <v>368</v>
      </c>
      <c r="B69" s="125" t="s">
        <v>171</v>
      </c>
      <c r="C69" s="124" t="s">
        <v>25</v>
      </c>
      <c r="D69" s="126">
        <v>3.78</v>
      </c>
      <c r="E69" s="134">
        <v>116.34</v>
      </c>
    </row>
    <row r="70" spans="1:6">
      <c r="A70" s="127" t="s">
        <v>7</v>
      </c>
      <c r="B70" s="124"/>
      <c r="C70" s="124"/>
      <c r="D70" s="131">
        <f>SUM(D66:D69)</f>
        <v>5.32</v>
      </c>
      <c r="E70" s="135">
        <f>SUM(E66:E69)</f>
        <v>165.41</v>
      </c>
    </row>
    <row r="71" spans="1:6">
      <c r="A71" s="127"/>
      <c r="B71" s="124"/>
      <c r="C71" s="124"/>
      <c r="D71" s="131"/>
      <c r="E71" s="135"/>
    </row>
    <row r="72" spans="1:6">
      <c r="A72" s="124" t="s">
        <v>394</v>
      </c>
      <c r="B72" s="125" t="s">
        <v>172</v>
      </c>
      <c r="C72" s="124" t="s">
        <v>348</v>
      </c>
      <c r="D72" s="126">
        <v>1.03</v>
      </c>
      <c r="E72" s="134">
        <v>36.15</v>
      </c>
    </row>
    <row r="73" spans="1:6">
      <c r="A73" s="124" t="s">
        <v>413</v>
      </c>
      <c r="B73" s="125" t="s">
        <v>172</v>
      </c>
      <c r="C73" s="124" t="s">
        <v>348</v>
      </c>
      <c r="D73" s="126">
        <v>1.37</v>
      </c>
      <c r="E73" s="134">
        <v>46.82</v>
      </c>
    </row>
    <row r="74" spans="1:6">
      <c r="A74" s="127" t="s">
        <v>7</v>
      </c>
      <c r="B74" s="124"/>
      <c r="C74" s="124"/>
      <c r="D74" s="131">
        <f>SUM(D72:D73)</f>
        <v>2.4000000000000004</v>
      </c>
      <c r="E74" s="135">
        <f>SUM(E72:E73)</f>
        <v>82.97</v>
      </c>
    </row>
    <row r="75" spans="1:6">
      <c r="A75" s="124"/>
      <c r="B75" s="124"/>
      <c r="C75" s="124"/>
      <c r="D75" s="126"/>
      <c r="E75" s="134"/>
    </row>
    <row r="76" spans="1:6">
      <c r="A76" s="124" t="s">
        <v>307</v>
      </c>
      <c r="B76" s="124">
        <v>100035</v>
      </c>
      <c r="C76" s="124" t="s">
        <v>332</v>
      </c>
      <c r="D76" s="126">
        <v>0.28000000000000003</v>
      </c>
      <c r="E76" s="134">
        <v>10.65</v>
      </c>
    </row>
    <row r="77" spans="1:6">
      <c r="A77" s="124" t="s">
        <v>331</v>
      </c>
      <c r="B77" s="124">
        <v>100035</v>
      </c>
      <c r="C77" s="124" t="s">
        <v>332</v>
      </c>
      <c r="D77" s="126">
        <v>0.25</v>
      </c>
      <c r="E77" s="134">
        <v>8.01</v>
      </c>
    </row>
    <row r="78" spans="1:6">
      <c r="A78" s="127" t="s">
        <v>7</v>
      </c>
      <c r="B78" s="124"/>
      <c r="C78" s="124"/>
      <c r="D78" s="131">
        <f>SUM(D76:D77)</f>
        <v>0.53</v>
      </c>
      <c r="E78" s="135">
        <f>SUM(E76:E77)</f>
        <v>18.66</v>
      </c>
    </row>
    <row r="79" spans="1:6">
      <c r="A79" s="127"/>
      <c r="B79" s="124"/>
      <c r="C79" s="124"/>
      <c r="D79" s="126"/>
      <c r="E79" s="134"/>
    </row>
    <row r="80" spans="1:6">
      <c r="A80" s="140" t="s">
        <v>452</v>
      </c>
      <c r="B80" s="140">
        <v>100051</v>
      </c>
      <c r="C80" s="140" t="s">
        <v>34</v>
      </c>
      <c r="D80" s="142">
        <v>9.35</v>
      </c>
      <c r="E80" s="143">
        <v>189.34</v>
      </c>
      <c r="F80" t="s">
        <v>310</v>
      </c>
    </row>
    <row r="81" spans="1:6">
      <c r="A81" s="140" t="s">
        <v>37</v>
      </c>
      <c r="B81" s="140">
        <v>100051</v>
      </c>
      <c r="C81" s="140" t="s">
        <v>34</v>
      </c>
      <c r="D81" s="142">
        <v>21.4</v>
      </c>
      <c r="E81" s="143">
        <v>529.65</v>
      </c>
      <c r="F81" t="s">
        <v>310</v>
      </c>
    </row>
    <row r="82" spans="1:6">
      <c r="A82" s="140" t="s">
        <v>213</v>
      </c>
      <c r="B82" s="140">
        <v>100051</v>
      </c>
      <c r="C82" s="140" t="s">
        <v>34</v>
      </c>
      <c r="D82" s="142">
        <v>11.08</v>
      </c>
      <c r="E82" s="143">
        <v>241.06</v>
      </c>
      <c r="F82" t="s">
        <v>310</v>
      </c>
    </row>
    <row r="83" spans="1:6">
      <c r="A83" s="140" t="s">
        <v>39</v>
      </c>
      <c r="B83" s="140">
        <v>100051</v>
      </c>
      <c r="C83" s="140" t="s">
        <v>34</v>
      </c>
      <c r="D83" s="142">
        <v>15.05</v>
      </c>
      <c r="E83" s="143">
        <v>349.91</v>
      </c>
      <c r="F83" t="s">
        <v>310</v>
      </c>
    </row>
    <row r="84" spans="1:6">
      <c r="A84" s="127" t="s">
        <v>7</v>
      </c>
      <c r="B84" s="124"/>
      <c r="C84" s="124"/>
      <c r="D84" s="131">
        <f>SUM(D80:D83)</f>
        <v>56.879999999999995</v>
      </c>
      <c r="E84" s="135">
        <f>SUM(E80:E83)</f>
        <v>1309.96</v>
      </c>
    </row>
    <row r="85" spans="1:6">
      <c r="A85" s="127"/>
      <c r="B85" s="124"/>
      <c r="C85" s="124"/>
      <c r="D85" s="131"/>
      <c r="E85" s="135"/>
    </row>
    <row r="86" spans="1:6">
      <c r="A86" s="140" t="s">
        <v>73</v>
      </c>
      <c r="B86" s="140">
        <v>290051</v>
      </c>
      <c r="C86" s="140" t="s">
        <v>396</v>
      </c>
      <c r="D86" s="142">
        <v>42.83</v>
      </c>
      <c r="E86" s="143">
        <v>899.5</v>
      </c>
      <c r="F86" t="s">
        <v>310</v>
      </c>
    </row>
    <row r="87" spans="1:6">
      <c r="A87" s="140" t="s">
        <v>215</v>
      </c>
      <c r="B87" s="140">
        <v>290051</v>
      </c>
      <c r="C87" s="140" t="s">
        <v>396</v>
      </c>
      <c r="D87" s="142">
        <v>25.2</v>
      </c>
      <c r="E87" s="143">
        <v>510.3</v>
      </c>
      <c r="F87" t="s">
        <v>310</v>
      </c>
    </row>
    <row r="88" spans="1:6">
      <c r="A88" s="140" t="s">
        <v>144</v>
      </c>
      <c r="B88" s="140">
        <v>290051</v>
      </c>
      <c r="C88" s="140" t="s">
        <v>396</v>
      </c>
      <c r="D88" s="142">
        <v>40.32</v>
      </c>
      <c r="E88" s="143">
        <v>907.13</v>
      </c>
      <c r="F88" t="s">
        <v>310</v>
      </c>
    </row>
    <row r="89" spans="1:6">
      <c r="A89" s="140" t="s">
        <v>453</v>
      </c>
      <c r="B89" s="140">
        <v>290051</v>
      </c>
      <c r="C89" s="140" t="s">
        <v>396</v>
      </c>
      <c r="D89" s="142">
        <v>37.42</v>
      </c>
      <c r="E89" s="143">
        <v>757.69</v>
      </c>
      <c r="F89" t="s">
        <v>310</v>
      </c>
    </row>
    <row r="90" spans="1:6">
      <c r="A90" s="127" t="s">
        <v>7</v>
      </c>
      <c r="B90" s="124"/>
      <c r="C90" s="124"/>
      <c r="D90" s="131">
        <f>SUM(D86:D89)</f>
        <v>145.76999999999998</v>
      </c>
      <c r="E90" s="135">
        <f>SUM(E86:E89)</f>
        <v>3074.62</v>
      </c>
    </row>
    <row r="91" spans="1:6">
      <c r="A91" s="127"/>
      <c r="B91" s="124"/>
      <c r="C91" s="124"/>
      <c r="D91" s="131"/>
      <c r="E91" s="135"/>
    </row>
    <row r="92" spans="1:6">
      <c r="A92" s="124" t="s">
        <v>427</v>
      </c>
      <c r="B92" s="124">
        <v>450051</v>
      </c>
      <c r="C92" s="124" t="s">
        <v>104</v>
      </c>
      <c r="D92" s="126">
        <v>0.57999999999999996</v>
      </c>
      <c r="E92" s="134">
        <v>11.38</v>
      </c>
    </row>
    <row r="93" spans="1:6">
      <c r="A93" s="127" t="s">
        <v>7</v>
      </c>
      <c r="B93" s="124"/>
      <c r="C93" s="124"/>
      <c r="D93" s="131">
        <v>0.57999999999999996</v>
      </c>
      <c r="E93" s="135">
        <v>11.38</v>
      </c>
    </row>
    <row r="94" spans="1:6">
      <c r="A94" s="127"/>
      <c r="B94" s="124"/>
      <c r="C94" s="124"/>
      <c r="D94" s="131"/>
      <c r="E94" s="135"/>
    </row>
    <row r="95" spans="1:6">
      <c r="A95" s="124" t="s">
        <v>434</v>
      </c>
      <c r="B95" s="124">
        <v>400020</v>
      </c>
      <c r="C95" s="124" t="s">
        <v>98</v>
      </c>
      <c r="D95" s="126">
        <v>0.45</v>
      </c>
      <c r="E95" s="134">
        <v>14.05</v>
      </c>
    </row>
    <row r="96" spans="1:6">
      <c r="A96" s="127" t="s">
        <v>7</v>
      </c>
      <c r="B96" s="124"/>
      <c r="C96" s="124"/>
      <c r="D96" s="131">
        <f>SUM(D95:D95)</f>
        <v>0.45</v>
      </c>
      <c r="E96" s="135">
        <f>SUM(E95:E95)</f>
        <v>14.05</v>
      </c>
    </row>
    <row r="97" spans="1:5">
      <c r="A97" s="127"/>
      <c r="B97" s="124"/>
      <c r="C97" s="124"/>
      <c r="D97" s="131"/>
      <c r="E97" s="135"/>
    </row>
    <row r="98" spans="1:5">
      <c r="A98" s="151" t="s">
        <v>41</v>
      </c>
      <c r="B98" s="151">
        <v>550052</v>
      </c>
      <c r="C98" s="151" t="s">
        <v>284</v>
      </c>
      <c r="D98" s="152">
        <v>28.55</v>
      </c>
      <c r="E98" s="153">
        <v>706.61</v>
      </c>
    </row>
    <row r="99" spans="1:5">
      <c r="A99" s="127" t="s">
        <v>7</v>
      </c>
      <c r="B99" s="124"/>
      <c r="C99" s="124"/>
      <c r="D99" s="131">
        <f>SUM(D98)</f>
        <v>28.55</v>
      </c>
      <c r="E99" s="135">
        <f>SUM(E98)</f>
        <v>706.61</v>
      </c>
    </row>
    <row r="100" spans="1:5">
      <c r="A100" s="127"/>
      <c r="B100" s="124"/>
      <c r="C100" s="124"/>
      <c r="D100" s="131"/>
      <c r="E100" s="135"/>
    </row>
    <row r="101" spans="1:5">
      <c r="A101" s="122" t="s">
        <v>194</v>
      </c>
      <c r="B101" s="123"/>
      <c r="C101" s="123"/>
      <c r="D101" s="131">
        <v>581.32000000000005</v>
      </c>
      <c r="E101" s="135">
        <v>14058.61</v>
      </c>
    </row>
  </sheetData>
  <mergeCells count="1">
    <mergeCell ref="G4:K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K104"/>
  <sheetViews>
    <sheetView topLeftCell="A63" workbookViewId="0">
      <selection activeCell="F86" sqref="F86"/>
    </sheetView>
  </sheetViews>
  <sheetFormatPr defaultRowHeight="12.75"/>
  <cols>
    <col min="1" max="1" width="19.42578125" bestFit="1" customWidth="1"/>
    <col min="2" max="2" width="23.140625" bestFit="1" customWidth="1"/>
    <col min="3" max="3" width="33.85546875" bestFit="1" customWidth="1"/>
    <col min="4" max="4" width="20.42578125" bestFit="1" customWidth="1"/>
    <col min="5" max="5" width="23.28515625" style="155" bestFit="1" customWidth="1"/>
    <col min="6" max="6" width="13.85546875" bestFit="1" customWidth="1"/>
    <col min="7" max="7" width="10.85546875" bestFit="1" customWidth="1"/>
    <col min="8" max="8" width="17.28515625" bestFit="1" customWidth="1"/>
    <col min="9" max="9" width="10" bestFit="1" customWidth="1"/>
    <col min="10" max="10" width="11.140625" bestFit="1" customWidth="1"/>
  </cols>
  <sheetData>
    <row r="1" spans="1:11">
      <c r="A1" s="122" t="s">
        <v>147</v>
      </c>
      <c r="B1" s="122" t="s">
        <v>148</v>
      </c>
      <c r="C1" s="122" t="s">
        <v>149</v>
      </c>
      <c r="D1" s="122" t="s">
        <v>150</v>
      </c>
      <c r="E1" s="154" t="s">
        <v>151</v>
      </c>
      <c r="F1" s="11" t="s">
        <v>440</v>
      </c>
      <c r="G1" s="38" t="s">
        <v>259</v>
      </c>
      <c r="H1" s="88" t="s">
        <v>334</v>
      </c>
      <c r="I1" s="40" t="s">
        <v>260</v>
      </c>
      <c r="J1" s="119" t="s">
        <v>262</v>
      </c>
      <c r="K1" s="39" t="s">
        <v>261</v>
      </c>
    </row>
    <row r="2" spans="1:11">
      <c r="A2" s="124" t="s">
        <v>366</v>
      </c>
      <c r="B2" s="125" t="s">
        <v>152</v>
      </c>
      <c r="C2" s="124" t="s">
        <v>15</v>
      </c>
      <c r="D2" s="126">
        <v>0.35</v>
      </c>
      <c r="E2" s="134">
        <v>9.1</v>
      </c>
      <c r="F2" s="20"/>
      <c r="G2" s="13">
        <f>E25+E28+E29+E30+E31+E32+E33+E35+E36+E37+E38+E39+E40+E41+E42+E43+E44+E45+E47+E50+E55+E86</f>
        <v>8624.42</v>
      </c>
      <c r="H2" s="89">
        <f>E4</f>
        <v>193.95</v>
      </c>
      <c r="I2" s="66">
        <v>0</v>
      </c>
      <c r="J2" s="120">
        <v>0</v>
      </c>
      <c r="K2" s="16">
        <f>E101</f>
        <v>1206.1600000000001</v>
      </c>
    </row>
    <row r="3" spans="1:11">
      <c r="A3" s="124" t="s">
        <v>389</v>
      </c>
      <c r="B3" s="125" t="s">
        <v>152</v>
      </c>
      <c r="C3" s="124" t="s">
        <v>15</v>
      </c>
      <c r="D3" s="126">
        <v>7.0000000000000007E-2</v>
      </c>
      <c r="E3" s="134">
        <v>1.92</v>
      </c>
      <c r="F3" s="18"/>
      <c r="G3" s="18"/>
      <c r="H3" s="18"/>
      <c r="I3" s="18"/>
      <c r="J3" s="18"/>
      <c r="K3" s="18"/>
    </row>
    <row r="4" spans="1:11">
      <c r="A4" s="136" t="s">
        <v>18</v>
      </c>
      <c r="B4" s="136" t="s">
        <v>152</v>
      </c>
      <c r="C4" s="136" t="s">
        <v>15</v>
      </c>
      <c r="D4" s="137">
        <v>6.97</v>
      </c>
      <c r="E4" s="138">
        <v>193.95</v>
      </c>
      <c r="F4" t="s">
        <v>310</v>
      </c>
      <c r="G4" s="305" t="s">
        <v>263</v>
      </c>
      <c r="H4" s="305"/>
      <c r="I4" s="305"/>
      <c r="J4" s="305"/>
      <c r="K4" s="305"/>
    </row>
    <row r="5" spans="1:11">
      <c r="A5" s="124" t="s">
        <v>377</v>
      </c>
      <c r="B5" s="125" t="s">
        <v>152</v>
      </c>
      <c r="C5" s="124" t="s">
        <v>15</v>
      </c>
      <c r="D5" s="126">
        <v>0.25</v>
      </c>
      <c r="E5" s="134">
        <v>8.1999999999999993</v>
      </c>
    </row>
    <row r="6" spans="1:11">
      <c r="A6" s="124" t="s">
        <v>397</v>
      </c>
      <c r="B6" s="125" t="s">
        <v>152</v>
      </c>
      <c r="C6" s="124" t="s">
        <v>15</v>
      </c>
      <c r="D6" s="126">
        <v>1.48</v>
      </c>
      <c r="E6" s="134">
        <v>45.99</v>
      </c>
    </row>
    <row r="7" spans="1:11">
      <c r="A7" s="124" t="s">
        <v>426</v>
      </c>
      <c r="B7" s="125">
        <v>290020</v>
      </c>
      <c r="C7" s="124" t="s">
        <v>373</v>
      </c>
      <c r="D7" s="126">
        <v>0.23</v>
      </c>
      <c r="E7" s="134">
        <v>7.57</v>
      </c>
    </row>
    <row r="8" spans="1:11" ht="15">
      <c r="A8" s="127" t="s">
        <v>7</v>
      </c>
      <c r="B8" s="124"/>
      <c r="C8" s="124"/>
      <c r="D8" s="131">
        <f>SUM(D2:D7)</f>
        <v>9.35</v>
      </c>
      <c r="E8" s="135">
        <f>SUM(E2:E7)</f>
        <v>266.72999999999996</v>
      </c>
      <c r="G8" s="157" t="s">
        <v>454</v>
      </c>
    </row>
    <row r="9" spans="1:11" ht="15">
      <c r="A9" s="127"/>
      <c r="B9" s="124"/>
      <c r="C9" s="124"/>
      <c r="D9" s="131"/>
      <c r="E9" s="135"/>
      <c r="G9" s="158" t="s">
        <v>455</v>
      </c>
    </row>
    <row r="10" spans="1:11">
      <c r="A10" s="124" t="s">
        <v>390</v>
      </c>
      <c r="B10" s="125" t="s">
        <v>217</v>
      </c>
      <c r="C10" s="124" t="s">
        <v>218</v>
      </c>
      <c r="D10" s="126">
        <v>0.87</v>
      </c>
      <c r="E10" s="134">
        <v>23.4</v>
      </c>
    </row>
    <row r="11" spans="1:11">
      <c r="A11" s="127" t="s">
        <v>7</v>
      </c>
      <c r="B11" s="124"/>
      <c r="C11" s="124"/>
      <c r="D11" s="131">
        <f>SUM(D10)</f>
        <v>0.87</v>
      </c>
      <c r="E11" s="135">
        <f>SUM(E10)</f>
        <v>23.4</v>
      </c>
    </row>
    <row r="12" spans="1:11">
      <c r="A12" s="127"/>
      <c r="B12" s="124"/>
      <c r="C12" s="124"/>
      <c r="D12" s="131"/>
      <c r="E12" s="135"/>
    </row>
    <row r="13" spans="1:11">
      <c r="A13" s="124" t="s">
        <v>398</v>
      </c>
      <c r="B13" s="125">
        <v>200035</v>
      </c>
      <c r="C13" s="124" t="s">
        <v>23</v>
      </c>
      <c r="D13" s="126">
        <v>1.87</v>
      </c>
      <c r="E13" s="134">
        <v>53.84</v>
      </c>
    </row>
    <row r="14" spans="1:11">
      <c r="A14" s="127" t="s">
        <v>7</v>
      </c>
      <c r="B14" s="124"/>
      <c r="C14" s="124"/>
      <c r="D14" s="131">
        <f>SUM(D13)</f>
        <v>1.87</v>
      </c>
      <c r="E14" s="135">
        <f>SUM(E13)</f>
        <v>53.84</v>
      </c>
    </row>
    <row r="15" spans="1:11">
      <c r="A15" s="127"/>
      <c r="B15" s="124"/>
      <c r="C15" s="124"/>
      <c r="D15" s="131"/>
      <c r="E15" s="135"/>
    </row>
    <row r="16" spans="1:11">
      <c r="A16" s="124" t="s">
        <v>22</v>
      </c>
      <c r="B16" s="125" t="s">
        <v>154</v>
      </c>
      <c r="C16" s="124" t="s">
        <v>23</v>
      </c>
      <c r="D16" s="126">
        <v>7.0000000000000007E-2</v>
      </c>
      <c r="E16" s="134">
        <v>2.2400000000000002</v>
      </c>
    </row>
    <row r="17" spans="1:6">
      <c r="A17" s="127" t="s">
        <v>7</v>
      </c>
      <c r="B17" s="124"/>
      <c r="C17" s="124"/>
      <c r="D17" s="131">
        <f>SUM(D16)</f>
        <v>7.0000000000000007E-2</v>
      </c>
      <c r="E17" s="135">
        <f>SUM(E16)</f>
        <v>2.2400000000000002</v>
      </c>
    </row>
    <row r="18" spans="1:6">
      <c r="A18" s="127"/>
      <c r="B18" s="125"/>
      <c r="C18" s="124"/>
      <c r="D18" s="131"/>
      <c r="E18" s="135"/>
    </row>
    <row r="19" spans="1:6">
      <c r="A19" s="124" t="s">
        <v>195</v>
      </c>
      <c r="B19" s="125" t="s">
        <v>155</v>
      </c>
      <c r="C19" s="124" t="s">
        <v>196</v>
      </c>
      <c r="D19" s="126">
        <v>0.23</v>
      </c>
      <c r="E19" s="134">
        <v>7.74</v>
      </c>
    </row>
    <row r="20" spans="1:6">
      <c r="A20" s="124" t="s">
        <v>415</v>
      </c>
      <c r="B20" s="125" t="s">
        <v>155</v>
      </c>
      <c r="C20" s="124" t="s">
        <v>196</v>
      </c>
      <c r="D20" s="126">
        <v>1.48</v>
      </c>
      <c r="E20" s="134">
        <v>48.13</v>
      </c>
    </row>
    <row r="21" spans="1:6">
      <c r="A21" s="127" t="s">
        <v>7</v>
      </c>
      <c r="B21" s="125"/>
      <c r="C21" s="124"/>
      <c r="D21" s="131">
        <f>SUM(D19:D20)</f>
        <v>1.71</v>
      </c>
      <c r="E21" s="135">
        <f>SUM(E19:E20)</f>
        <v>55.870000000000005</v>
      </c>
    </row>
    <row r="22" spans="1:6">
      <c r="A22" s="127"/>
      <c r="B22" s="125"/>
      <c r="C22" s="124"/>
      <c r="D22" s="131"/>
      <c r="E22" s="135"/>
    </row>
    <row r="23" spans="1:6">
      <c r="A23" s="124" t="s">
        <v>335</v>
      </c>
      <c r="B23" s="125" t="s">
        <v>156</v>
      </c>
      <c r="C23" s="124" t="s">
        <v>91</v>
      </c>
      <c r="D23" s="126">
        <v>1.63</v>
      </c>
      <c r="E23" s="134">
        <v>49</v>
      </c>
    </row>
    <row r="24" spans="1:6">
      <c r="A24" s="124" t="s">
        <v>456</v>
      </c>
      <c r="B24" s="125" t="s">
        <v>156</v>
      </c>
      <c r="C24" s="124" t="s">
        <v>91</v>
      </c>
      <c r="D24" s="126">
        <v>0.25</v>
      </c>
      <c r="E24" s="134">
        <v>6.75</v>
      </c>
    </row>
    <row r="25" spans="1:6">
      <c r="A25" s="148" t="s">
        <v>417</v>
      </c>
      <c r="B25" s="149" t="s">
        <v>156</v>
      </c>
      <c r="C25" s="148" t="s">
        <v>91</v>
      </c>
      <c r="D25" s="142">
        <v>5.41</v>
      </c>
      <c r="E25" s="143">
        <v>142.19</v>
      </c>
      <c r="F25" t="s">
        <v>310</v>
      </c>
    </row>
    <row r="26" spans="1:6">
      <c r="A26" s="127" t="s">
        <v>7</v>
      </c>
      <c r="B26" s="124"/>
      <c r="C26" s="124"/>
      <c r="D26" s="131">
        <f>SUM(D23:D25)</f>
        <v>7.29</v>
      </c>
      <c r="E26" s="135">
        <f>SUM(E23:E25)</f>
        <v>197.94</v>
      </c>
    </row>
    <row r="27" spans="1:6">
      <c r="A27" s="124"/>
      <c r="B27" s="124"/>
      <c r="C27" s="124"/>
      <c r="D27" s="126"/>
      <c r="E27" s="134"/>
    </row>
    <row r="28" spans="1:6">
      <c r="A28" s="140" t="s">
        <v>391</v>
      </c>
      <c r="B28" s="141" t="s">
        <v>157</v>
      </c>
      <c r="C28" s="140" t="s">
        <v>66</v>
      </c>
      <c r="D28" s="142">
        <v>7</v>
      </c>
      <c r="E28" s="143">
        <v>168</v>
      </c>
      <c r="F28" t="s">
        <v>310</v>
      </c>
    </row>
    <row r="29" spans="1:6">
      <c r="A29" s="140" t="s">
        <v>457</v>
      </c>
      <c r="B29" s="141" t="s">
        <v>157</v>
      </c>
      <c r="C29" s="140" t="s">
        <v>66</v>
      </c>
      <c r="D29" s="142">
        <v>20.83</v>
      </c>
      <c r="E29" s="143">
        <v>500</v>
      </c>
      <c r="F29" t="s">
        <v>310</v>
      </c>
    </row>
    <row r="30" spans="1:6">
      <c r="A30" s="140" t="s">
        <v>228</v>
      </c>
      <c r="B30" s="141" t="s">
        <v>157</v>
      </c>
      <c r="C30" s="140" t="s">
        <v>66</v>
      </c>
      <c r="D30" s="142">
        <v>31.48</v>
      </c>
      <c r="E30" s="143">
        <v>755.6</v>
      </c>
      <c r="F30" t="s">
        <v>310</v>
      </c>
    </row>
    <row r="31" spans="1:6">
      <c r="A31" s="140" t="s">
        <v>449</v>
      </c>
      <c r="B31" s="141" t="s">
        <v>157</v>
      </c>
      <c r="C31" s="140" t="s">
        <v>66</v>
      </c>
      <c r="D31" s="142">
        <v>14.9</v>
      </c>
      <c r="E31" s="143">
        <v>357.6</v>
      </c>
      <c r="F31" t="s">
        <v>310</v>
      </c>
    </row>
    <row r="32" spans="1:6">
      <c r="A32" s="140" t="s">
        <v>75</v>
      </c>
      <c r="B32" s="141" t="s">
        <v>157</v>
      </c>
      <c r="C32" s="140" t="s">
        <v>66</v>
      </c>
      <c r="D32" s="142">
        <v>9.43</v>
      </c>
      <c r="E32" s="143">
        <v>226.4</v>
      </c>
      <c r="F32" t="s">
        <v>310</v>
      </c>
    </row>
    <row r="33" spans="1:6">
      <c r="A33" s="140" t="s">
        <v>210</v>
      </c>
      <c r="B33" s="141" t="s">
        <v>157</v>
      </c>
      <c r="C33" s="140" t="s">
        <v>66</v>
      </c>
      <c r="D33" s="142">
        <v>15.52</v>
      </c>
      <c r="E33" s="143">
        <v>384.04</v>
      </c>
      <c r="F33" t="s">
        <v>310</v>
      </c>
    </row>
    <row r="34" spans="1:6">
      <c r="A34" s="124" t="s">
        <v>267</v>
      </c>
      <c r="B34" s="125" t="s">
        <v>157</v>
      </c>
      <c r="C34" s="124" t="s">
        <v>66</v>
      </c>
      <c r="D34" s="126">
        <v>1.65</v>
      </c>
      <c r="E34" s="134">
        <v>40.840000000000003</v>
      </c>
    </row>
    <row r="35" spans="1:6">
      <c r="A35" s="140" t="s">
        <v>86</v>
      </c>
      <c r="B35" s="141" t="s">
        <v>157</v>
      </c>
      <c r="C35" s="140" t="s">
        <v>66</v>
      </c>
      <c r="D35" s="142">
        <v>6.08</v>
      </c>
      <c r="E35" s="143">
        <v>155.13</v>
      </c>
      <c r="F35" t="s">
        <v>310</v>
      </c>
    </row>
    <row r="36" spans="1:6">
      <c r="A36" s="148" t="s">
        <v>292</v>
      </c>
      <c r="B36" s="149" t="s">
        <v>157</v>
      </c>
      <c r="C36" s="148" t="s">
        <v>66</v>
      </c>
      <c r="D36" s="150">
        <v>10.23</v>
      </c>
      <c r="E36" s="143">
        <v>245.6</v>
      </c>
      <c r="F36" t="s">
        <v>310</v>
      </c>
    </row>
    <row r="37" spans="1:6">
      <c r="A37" s="148" t="s">
        <v>429</v>
      </c>
      <c r="B37" s="149" t="s">
        <v>157</v>
      </c>
      <c r="C37" s="148" t="s">
        <v>66</v>
      </c>
      <c r="D37" s="150">
        <v>14.68</v>
      </c>
      <c r="E37" s="143">
        <v>352.4</v>
      </c>
      <c r="F37" t="s">
        <v>310</v>
      </c>
    </row>
    <row r="38" spans="1:6">
      <c r="A38" s="148" t="s">
        <v>418</v>
      </c>
      <c r="B38" s="149" t="s">
        <v>157</v>
      </c>
      <c r="C38" s="148" t="s">
        <v>66</v>
      </c>
      <c r="D38" s="150">
        <v>4.05</v>
      </c>
      <c r="E38" s="143">
        <v>82.01</v>
      </c>
      <c r="F38" t="s">
        <v>310</v>
      </c>
    </row>
    <row r="39" spans="1:6">
      <c r="A39" s="148" t="s">
        <v>159</v>
      </c>
      <c r="B39" s="149" t="s">
        <v>157</v>
      </c>
      <c r="C39" s="148" t="s">
        <v>66</v>
      </c>
      <c r="D39" s="150">
        <v>23.23</v>
      </c>
      <c r="E39" s="143">
        <v>557.6</v>
      </c>
      <c r="F39" t="s">
        <v>310</v>
      </c>
    </row>
    <row r="40" spans="1:6">
      <c r="A40" s="148" t="s">
        <v>88</v>
      </c>
      <c r="B40" s="149" t="s">
        <v>157</v>
      </c>
      <c r="C40" s="148" t="s">
        <v>66</v>
      </c>
      <c r="D40" s="150">
        <v>7.87</v>
      </c>
      <c r="E40" s="143">
        <v>194.7</v>
      </c>
      <c r="F40" t="s">
        <v>310</v>
      </c>
    </row>
    <row r="41" spans="1:6">
      <c r="A41" s="148" t="s">
        <v>407</v>
      </c>
      <c r="B41" s="149" t="s">
        <v>157</v>
      </c>
      <c r="C41" s="148" t="s">
        <v>66</v>
      </c>
      <c r="D41" s="150">
        <v>11.28</v>
      </c>
      <c r="E41" s="143">
        <v>270.8</v>
      </c>
      <c r="F41" t="s">
        <v>310</v>
      </c>
    </row>
    <row r="42" spans="1:6">
      <c r="A42" s="148" t="s">
        <v>328</v>
      </c>
      <c r="B42" s="149" t="s">
        <v>157</v>
      </c>
      <c r="C42" s="148" t="s">
        <v>66</v>
      </c>
      <c r="D42" s="150">
        <v>16.37</v>
      </c>
      <c r="E42" s="143">
        <v>405.08</v>
      </c>
      <c r="F42" t="s">
        <v>310</v>
      </c>
    </row>
    <row r="43" spans="1:6">
      <c r="A43" s="148" t="s">
        <v>458</v>
      </c>
      <c r="B43" s="149" t="s">
        <v>157</v>
      </c>
      <c r="C43" s="148" t="s">
        <v>66</v>
      </c>
      <c r="D43" s="150">
        <v>5.25</v>
      </c>
      <c r="E43" s="143">
        <v>133.88</v>
      </c>
      <c r="F43" t="s">
        <v>310</v>
      </c>
    </row>
    <row r="44" spans="1:6">
      <c r="A44" s="140" t="s">
        <v>422</v>
      </c>
      <c r="B44" s="141" t="s">
        <v>157</v>
      </c>
      <c r="C44" s="140" t="s">
        <v>66</v>
      </c>
      <c r="D44" s="142">
        <v>32.43</v>
      </c>
      <c r="E44" s="143">
        <v>924.35</v>
      </c>
      <c r="F44" t="s">
        <v>310</v>
      </c>
    </row>
    <row r="45" spans="1:6">
      <c r="A45" s="148" t="s">
        <v>79</v>
      </c>
      <c r="B45" s="149" t="s">
        <v>157</v>
      </c>
      <c r="C45" s="148" t="s">
        <v>66</v>
      </c>
      <c r="D45" s="148">
        <v>4.25</v>
      </c>
      <c r="E45" s="143">
        <v>102</v>
      </c>
      <c r="F45" t="s">
        <v>310</v>
      </c>
    </row>
    <row r="46" spans="1:6">
      <c r="A46" s="123" t="s">
        <v>451</v>
      </c>
      <c r="B46" s="132" t="s">
        <v>157</v>
      </c>
      <c r="C46" s="123" t="s">
        <v>66</v>
      </c>
      <c r="D46" s="123">
        <v>0.22</v>
      </c>
      <c r="E46" s="134">
        <v>5.2</v>
      </c>
    </row>
    <row r="47" spans="1:6">
      <c r="A47" s="148" t="s">
        <v>375</v>
      </c>
      <c r="B47" s="149" t="s">
        <v>157</v>
      </c>
      <c r="C47" s="148" t="s">
        <v>66</v>
      </c>
      <c r="D47" s="148">
        <v>14.38</v>
      </c>
      <c r="E47" s="143">
        <v>345.2</v>
      </c>
      <c r="F47" s="156" t="s">
        <v>310</v>
      </c>
    </row>
    <row r="48" spans="1:6">
      <c r="A48" s="127" t="s">
        <v>7</v>
      </c>
      <c r="B48" s="124"/>
      <c r="C48" s="124"/>
      <c r="D48" s="131">
        <f>SUM(D28:D47)</f>
        <v>251.13000000000002</v>
      </c>
      <c r="E48" s="135">
        <f>SUM(E28:E47)</f>
        <v>6206.43</v>
      </c>
    </row>
    <row r="49" spans="1:6">
      <c r="A49" s="127"/>
      <c r="B49" s="124"/>
      <c r="C49" s="124"/>
      <c r="D49" s="131"/>
      <c r="E49" s="135"/>
    </row>
    <row r="50" spans="1:6">
      <c r="A50" s="140" t="s">
        <v>163</v>
      </c>
      <c r="B50" s="141" t="s">
        <v>162</v>
      </c>
      <c r="C50" s="140" t="s">
        <v>51</v>
      </c>
      <c r="D50" s="142">
        <v>43.93</v>
      </c>
      <c r="E50" s="143">
        <v>1252.1099999999999</v>
      </c>
      <c r="F50" t="s">
        <v>310</v>
      </c>
    </row>
    <row r="51" spans="1:6">
      <c r="A51" s="127" t="s">
        <v>7</v>
      </c>
      <c r="B51" s="125"/>
      <c r="C51" s="124"/>
      <c r="D51" s="131">
        <f>SUM(D50)</f>
        <v>43.93</v>
      </c>
      <c r="E51" s="135">
        <f>SUM(E50)</f>
        <v>1252.1099999999999</v>
      </c>
    </row>
    <row r="52" spans="1:6">
      <c r="A52" s="127"/>
      <c r="B52" s="124"/>
      <c r="C52" s="124"/>
      <c r="D52" s="131"/>
      <c r="E52" s="135"/>
    </row>
    <row r="53" spans="1:6">
      <c r="A53" s="124" t="s">
        <v>203</v>
      </c>
      <c r="B53" s="125" t="s">
        <v>164</v>
      </c>
      <c r="C53" s="124" t="s">
        <v>60</v>
      </c>
      <c r="D53" s="126">
        <v>1.45</v>
      </c>
      <c r="E53" s="134">
        <v>30.45</v>
      </c>
    </row>
    <row r="54" spans="1:6">
      <c r="A54" s="124" t="s">
        <v>411</v>
      </c>
      <c r="B54" s="125" t="s">
        <v>164</v>
      </c>
      <c r="C54" s="124" t="s">
        <v>60</v>
      </c>
      <c r="D54" s="126">
        <v>2.2000000000000002</v>
      </c>
      <c r="E54" s="134">
        <v>66</v>
      </c>
    </row>
    <row r="55" spans="1:6">
      <c r="A55" s="140" t="s">
        <v>64</v>
      </c>
      <c r="B55" s="141" t="s">
        <v>164</v>
      </c>
      <c r="C55" s="140" t="s">
        <v>60</v>
      </c>
      <c r="D55" s="142">
        <v>11.85</v>
      </c>
      <c r="E55" s="143">
        <v>248.85</v>
      </c>
      <c r="F55" t="s">
        <v>310</v>
      </c>
    </row>
    <row r="56" spans="1:6">
      <c r="A56" s="127" t="s">
        <v>7</v>
      </c>
      <c r="B56" s="124"/>
      <c r="C56" s="124"/>
      <c r="D56" s="131">
        <f>SUM(D53:D55)</f>
        <v>15.5</v>
      </c>
      <c r="E56" s="135">
        <f>SUM(E53:E55)</f>
        <v>345.3</v>
      </c>
    </row>
    <row r="57" spans="1:6">
      <c r="A57" s="127"/>
      <c r="B57" s="124"/>
      <c r="C57" s="124"/>
      <c r="D57" s="131"/>
      <c r="E57" s="135"/>
    </row>
    <row r="58" spans="1:6">
      <c r="A58" s="124" t="s">
        <v>372</v>
      </c>
      <c r="B58" s="125" t="s">
        <v>165</v>
      </c>
      <c r="C58" s="124" t="s">
        <v>45</v>
      </c>
      <c r="D58" s="126">
        <v>1.4</v>
      </c>
      <c r="E58" s="134">
        <v>31.5</v>
      </c>
    </row>
    <row r="59" spans="1:6">
      <c r="A59" s="124" t="s">
        <v>412</v>
      </c>
      <c r="B59" s="125" t="s">
        <v>165</v>
      </c>
      <c r="C59" s="124" t="s">
        <v>45</v>
      </c>
      <c r="D59" s="126">
        <v>2.4700000000000002</v>
      </c>
      <c r="E59" s="134">
        <v>55.5</v>
      </c>
    </row>
    <row r="60" spans="1:6">
      <c r="A60" s="127" t="s">
        <v>7</v>
      </c>
      <c r="B60" s="124"/>
      <c r="C60" s="124"/>
      <c r="D60" s="131">
        <f>SUM(D58:D59)</f>
        <v>3.87</v>
      </c>
      <c r="E60" s="135">
        <f>SUM(E58:E59)</f>
        <v>87</v>
      </c>
    </row>
    <row r="61" spans="1:6">
      <c r="A61" s="127"/>
      <c r="B61" s="124"/>
      <c r="C61" s="124"/>
      <c r="D61" s="131"/>
      <c r="E61" s="135"/>
    </row>
    <row r="62" spans="1:6">
      <c r="A62" s="124" t="s">
        <v>166</v>
      </c>
      <c r="B62" s="125" t="s">
        <v>167</v>
      </c>
      <c r="C62" s="124" t="s">
        <v>54</v>
      </c>
      <c r="D62" s="126">
        <v>0.45</v>
      </c>
      <c r="E62" s="134">
        <v>10.8</v>
      </c>
    </row>
    <row r="63" spans="1:6">
      <c r="A63" s="124" t="s">
        <v>421</v>
      </c>
      <c r="B63" s="125" t="s">
        <v>167</v>
      </c>
      <c r="C63" s="124" t="s">
        <v>54</v>
      </c>
      <c r="D63" s="126">
        <v>1.85</v>
      </c>
      <c r="E63" s="134">
        <v>49.95</v>
      </c>
    </row>
    <row r="64" spans="1:6">
      <c r="A64" s="124" t="s">
        <v>393</v>
      </c>
      <c r="B64" s="125" t="s">
        <v>167</v>
      </c>
      <c r="C64" s="124" t="s">
        <v>54</v>
      </c>
      <c r="D64" s="126">
        <v>0.5</v>
      </c>
      <c r="E64" s="134">
        <v>10.5</v>
      </c>
    </row>
    <row r="65" spans="1:5">
      <c r="A65" s="127" t="s">
        <v>7</v>
      </c>
      <c r="B65" s="125"/>
      <c r="C65" s="124"/>
      <c r="D65" s="131">
        <f>SUM(D62:D64)</f>
        <v>2.8000000000000003</v>
      </c>
      <c r="E65" s="135">
        <f>SUM(E62:E64)</f>
        <v>71.25</v>
      </c>
    </row>
    <row r="66" spans="1:5">
      <c r="A66" s="127"/>
      <c r="B66" s="125"/>
      <c r="C66" s="124"/>
      <c r="D66" s="131"/>
      <c r="E66" s="135"/>
    </row>
    <row r="67" spans="1:5">
      <c r="A67" s="124" t="s">
        <v>423</v>
      </c>
      <c r="B67" s="125" t="s">
        <v>240</v>
      </c>
      <c r="C67" s="124" t="s">
        <v>241</v>
      </c>
      <c r="D67" s="126">
        <v>0.33</v>
      </c>
      <c r="E67" s="134">
        <v>10.82</v>
      </c>
    </row>
    <row r="68" spans="1:5">
      <c r="A68" s="127" t="s">
        <v>7</v>
      </c>
      <c r="B68" s="125"/>
      <c r="C68" s="124"/>
      <c r="D68" s="131">
        <f>SUM(D67)</f>
        <v>0.33</v>
      </c>
      <c r="E68" s="135">
        <f>SUM(E67)</f>
        <v>10.82</v>
      </c>
    </row>
    <row r="69" spans="1:5">
      <c r="A69" s="127"/>
      <c r="B69" s="125"/>
      <c r="C69" s="124"/>
      <c r="D69" s="131"/>
      <c r="E69" s="135"/>
    </row>
    <row r="70" spans="1:5">
      <c r="A70" s="124" t="s">
        <v>459</v>
      </c>
      <c r="B70" s="125" t="s">
        <v>171</v>
      </c>
      <c r="C70" s="124" t="s">
        <v>25</v>
      </c>
      <c r="D70" s="126">
        <v>0.5</v>
      </c>
      <c r="E70" s="134">
        <v>13.5</v>
      </c>
    </row>
    <row r="71" spans="1:5">
      <c r="A71" s="124" t="s">
        <v>460</v>
      </c>
      <c r="B71" s="125" t="s">
        <v>171</v>
      </c>
      <c r="C71" s="124" t="s">
        <v>25</v>
      </c>
      <c r="D71" s="126">
        <v>0.18</v>
      </c>
      <c r="E71" s="134">
        <v>5.23</v>
      </c>
    </row>
    <row r="72" spans="1:5">
      <c r="A72" s="124" t="s">
        <v>424</v>
      </c>
      <c r="B72" s="125" t="s">
        <v>171</v>
      </c>
      <c r="C72" s="124" t="s">
        <v>25</v>
      </c>
      <c r="D72" s="126">
        <v>3.97</v>
      </c>
      <c r="E72" s="134">
        <v>139.83000000000001</v>
      </c>
    </row>
    <row r="73" spans="1:5">
      <c r="A73" s="124" t="s">
        <v>286</v>
      </c>
      <c r="B73" s="125" t="s">
        <v>171</v>
      </c>
      <c r="C73" s="124" t="s">
        <v>25</v>
      </c>
      <c r="D73" s="126">
        <v>1.25</v>
      </c>
      <c r="E73" s="134">
        <v>37.5</v>
      </c>
    </row>
    <row r="74" spans="1:5">
      <c r="A74" s="124" t="s">
        <v>436</v>
      </c>
      <c r="B74" s="125" t="s">
        <v>171</v>
      </c>
      <c r="C74" s="124" t="s">
        <v>25</v>
      </c>
      <c r="D74" s="126">
        <v>0.08</v>
      </c>
      <c r="E74" s="134">
        <v>2.5</v>
      </c>
    </row>
    <row r="75" spans="1:5">
      <c r="A75" s="124" t="s">
        <v>368</v>
      </c>
      <c r="B75" s="125" t="s">
        <v>171</v>
      </c>
      <c r="C75" s="124" t="s">
        <v>25</v>
      </c>
      <c r="D75" s="126">
        <v>3.1</v>
      </c>
      <c r="E75" s="134">
        <v>109.28</v>
      </c>
    </row>
    <row r="76" spans="1:5">
      <c r="A76" s="127" t="s">
        <v>7</v>
      </c>
      <c r="B76" s="124"/>
      <c r="C76" s="124"/>
      <c r="D76" s="131">
        <f>SUM(D70:D75)</f>
        <v>9.08</v>
      </c>
      <c r="E76" s="135">
        <f>SUM(E70:E75)</f>
        <v>307.84000000000003</v>
      </c>
    </row>
    <row r="77" spans="1:5">
      <c r="A77" s="127"/>
      <c r="B77" s="124"/>
      <c r="C77" s="124"/>
      <c r="D77" s="131"/>
      <c r="E77" s="135"/>
    </row>
    <row r="78" spans="1:5">
      <c r="A78" s="124" t="s">
        <v>394</v>
      </c>
      <c r="B78" s="125" t="s">
        <v>172</v>
      </c>
      <c r="C78" s="124" t="s">
        <v>348</v>
      </c>
      <c r="D78" s="126">
        <v>1.35</v>
      </c>
      <c r="E78" s="134">
        <v>47.22</v>
      </c>
    </row>
    <row r="79" spans="1:5">
      <c r="A79" s="124" t="s">
        <v>413</v>
      </c>
      <c r="B79" s="125" t="s">
        <v>172</v>
      </c>
      <c r="C79" s="124" t="s">
        <v>348</v>
      </c>
      <c r="D79" s="126">
        <v>2</v>
      </c>
      <c r="E79" s="134">
        <v>68.52</v>
      </c>
    </row>
    <row r="80" spans="1:5">
      <c r="A80" s="127" t="s">
        <v>7</v>
      </c>
      <c r="B80" s="124"/>
      <c r="C80" s="124"/>
      <c r="D80" s="131">
        <f>SUM(D78:D79)</f>
        <v>3.35</v>
      </c>
      <c r="E80" s="135">
        <f>SUM(E78:E79)</f>
        <v>115.74</v>
      </c>
    </row>
    <row r="81" spans="1:6">
      <c r="A81" s="124"/>
      <c r="B81" s="124"/>
      <c r="C81" s="124"/>
      <c r="D81" s="126"/>
      <c r="E81" s="134"/>
    </row>
    <row r="82" spans="1:6">
      <c r="A82" s="124" t="s">
        <v>307</v>
      </c>
      <c r="B82" s="124">
        <v>100035</v>
      </c>
      <c r="C82" s="124" t="s">
        <v>332</v>
      </c>
      <c r="D82" s="126">
        <v>2.65</v>
      </c>
      <c r="E82" s="134">
        <v>99.65</v>
      </c>
    </row>
    <row r="83" spans="1:6">
      <c r="A83" s="124" t="s">
        <v>331</v>
      </c>
      <c r="B83" s="124">
        <v>100035</v>
      </c>
      <c r="C83" s="124" t="s">
        <v>332</v>
      </c>
      <c r="D83" s="126">
        <v>1.63</v>
      </c>
      <c r="E83" s="134">
        <v>52.33</v>
      </c>
    </row>
    <row r="84" spans="1:6">
      <c r="A84" s="127" t="s">
        <v>7</v>
      </c>
      <c r="B84" s="124"/>
      <c r="C84" s="124"/>
      <c r="D84" s="131">
        <f>SUM(D82:D83)</f>
        <v>4.2799999999999994</v>
      </c>
      <c r="E84" s="135">
        <f>SUM(E82:E83)</f>
        <v>151.98000000000002</v>
      </c>
    </row>
    <row r="85" spans="1:6">
      <c r="A85" s="127"/>
      <c r="B85" s="124"/>
      <c r="C85" s="124"/>
      <c r="D85" s="126"/>
      <c r="E85" s="134"/>
    </row>
    <row r="86" spans="1:6">
      <c r="A86" s="140" t="s">
        <v>37</v>
      </c>
      <c r="B86" s="140">
        <v>100051</v>
      </c>
      <c r="C86" s="140" t="s">
        <v>34</v>
      </c>
      <c r="D86" s="142">
        <v>33.17</v>
      </c>
      <c r="E86" s="143">
        <v>820.88</v>
      </c>
      <c r="F86" s="10" t="s">
        <v>310</v>
      </c>
    </row>
    <row r="87" spans="1:6">
      <c r="A87" s="124" t="s">
        <v>213</v>
      </c>
      <c r="B87" s="124">
        <v>100051</v>
      </c>
      <c r="C87" s="124" t="s">
        <v>34</v>
      </c>
      <c r="D87" s="126">
        <v>1</v>
      </c>
      <c r="E87" s="134">
        <v>21.75</v>
      </c>
    </row>
    <row r="88" spans="1:6">
      <c r="A88" s="124" t="s">
        <v>274</v>
      </c>
      <c r="B88" s="124">
        <v>100051</v>
      </c>
      <c r="C88" s="124" t="s">
        <v>34</v>
      </c>
      <c r="D88" s="126">
        <v>1.07</v>
      </c>
      <c r="E88" s="134">
        <v>22.8</v>
      </c>
    </row>
    <row r="89" spans="1:6">
      <c r="A89" s="124" t="s">
        <v>39</v>
      </c>
      <c r="B89" s="124">
        <v>100051</v>
      </c>
      <c r="C89" s="124" t="s">
        <v>34</v>
      </c>
      <c r="D89" s="126">
        <v>2.1</v>
      </c>
      <c r="E89" s="134">
        <v>48.83</v>
      </c>
    </row>
    <row r="90" spans="1:6">
      <c r="A90" s="127" t="s">
        <v>7</v>
      </c>
      <c r="B90" s="124"/>
      <c r="C90" s="124"/>
      <c r="D90" s="131">
        <f>SUM(D86:D89)</f>
        <v>37.340000000000003</v>
      </c>
      <c r="E90" s="135">
        <f>SUM(E86:E89)</f>
        <v>914.26</v>
      </c>
    </row>
    <row r="91" spans="1:6">
      <c r="A91" s="127"/>
      <c r="B91" s="124"/>
      <c r="C91" s="124"/>
      <c r="D91" s="131"/>
      <c r="E91" s="135"/>
    </row>
    <row r="92" spans="1:6">
      <c r="A92" s="124" t="s">
        <v>73</v>
      </c>
      <c r="B92" s="124">
        <v>290051</v>
      </c>
      <c r="C92" s="124" t="s">
        <v>396</v>
      </c>
      <c r="D92" s="126">
        <v>1.5</v>
      </c>
      <c r="E92" s="134">
        <v>31.5</v>
      </c>
    </row>
    <row r="93" spans="1:6">
      <c r="A93" s="127" t="s">
        <v>7</v>
      </c>
      <c r="B93" s="124"/>
      <c r="C93" s="124"/>
      <c r="D93" s="131">
        <f>SUM(D92)</f>
        <v>1.5</v>
      </c>
      <c r="E93" s="135">
        <f>SUM(E92)</f>
        <v>31.5</v>
      </c>
    </row>
    <row r="94" spans="1:6">
      <c r="A94" s="127"/>
      <c r="B94" s="124"/>
      <c r="C94" s="124"/>
      <c r="D94" s="131"/>
      <c r="E94" s="135"/>
    </row>
    <row r="95" spans="1:6">
      <c r="A95" s="124" t="s">
        <v>346</v>
      </c>
      <c r="B95" s="124">
        <v>450046</v>
      </c>
      <c r="C95" s="124" t="s">
        <v>128</v>
      </c>
      <c r="D95" s="126">
        <v>0.03</v>
      </c>
      <c r="E95" s="134">
        <v>1</v>
      </c>
    </row>
    <row r="96" spans="1:6">
      <c r="A96" s="127" t="s">
        <v>7</v>
      </c>
      <c r="B96" s="124"/>
      <c r="C96" s="124"/>
      <c r="D96" s="131">
        <f>SUM(D95)</f>
        <v>0.03</v>
      </c>
      <c r="E96" s="135">
        <f>SUM(E95)</f>
        <v>1</v>
      </c>
    </row>
    <row r="97" spans="1:9">
      <c r="A97" s="127"/>
      <c r="B97" s="124"/>
      <c r="C97" s="124"/>
      <c r="D97" s="131"/>
      <c r="E97" s="135"/>
    </row>
    <row r="98" spans="1:9">
      <c r="A98" s="124" t="s">
        <v>434</v>
      </c>
      <c r="B98" s="124">
        <v>400020</v>
      </c>
      <c r="C98" s="124" t="s">
        <v>98</v>
      </c>
      <c r="D98" s="126">
        <v>0.18</v>
      </c>
      <c r="E98" s="134">
        <v>5.72</v>
      </c>
    </row>
    <row r="99" spans="1:9">
      <c r="A99" s="127" t="s">
        <v>7</v>
      </c>
      <c r="B99" s="124"/>
      <c r="C99" s="124"/>
      <c r="D99" s="131">
        <f>SUM(D98)</f>
        <v>0.18</v>
      </c>
      <c r="E99" s="135">
        <f>SUM(E98)</f>
        <v>5.72</v>
      </c>
    </row>
    <row r="100" spans="1:9">
      <c r="A100" s="127"/>
      <c r="B100" s="124"/>
      <c r="C100" s="124"/>
      <c r="D100" s="131"/>
      <c r="E100" s="135"/>
    </row>
    <row r="101" spans="1:9">
      <c r="A101" s="151" t="s">
        <v>41</v>
      </c>
      <c r="B101" s="151">
        <v>550052</v>
      </c>
      <c r="C101" s="151" t="s">
        <v>284</v>
      </c>
      <c r="D101" s="152">
        <f>48.73</f>
        <v>48.73</v>
      </c>
      <c r="E101" s="153">
        <v>1206.1600000000001</v>
      </c>
      <c r="F101" s="311" t="s">
        <v>435</v>
      </c>
      <c r="G101" s="312"/>
      <c r="H101" s="312"/>
      <c r="I101" s="312"/>
    </row>
    <row r="102" spans="1:9">
      <c r="A102" s="127" t="s">
        <v>7</v>
      </c>
      <c r="B102" s="124"/>
      <c r="C102" s="124"/>
      <c r="D102" s="131">
        <f>SUM(D101)</f>
        <v>48.73</v>
      </c>
      <c r="E102" s="135">
        <f>SUM(E101)</f>
        <v>1206.1600000000001</v>
      </c>
    </row>
    <row r="103" spans="1:9">
      <c r="A103" s="127"/>
      <c r="B103" s="124"/>
      <c r="C103" s="124"/>
      <c r="D103" s="131"/>
      <c r="E103" s="135"/>
    </row>
    <row r="104" spans="1:9">
      <c r="A104" s="122" t="s">
        <v>194</v>
      </c>
      <c r="B104" s="123"/>
      <c r="C104" s="123"/>
      <c r="D104" s="131">
        <v>443.21</v>
      </c>
      <c r="E104" s="135">
        <v>11307.13</v>
      </c>
    </row>
  </sheetData>
  <mergeCells count="2">
    <mergeCell ref="G4:K4"/>
    <mergeCell ref="F101:I10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7"/>
  <sheetViews>
    <sheetView workbookViewId="0">
      <pane ySplit="1" topLeftCell="A111" activePane="bottomLeft" state="frozenSplit"/>
      <selection pane="bottomLeft" activeCell="G129" sqref="G129"/>
    </sheetView>
  </sheetViews>
  <sheetFormatPr defaultRowHeight="12.75"/>
  <cols>
    <col min="1" max="1" width="31.7109375" customWidth="1"/>
    <col min="2" max="2" width="22.7109375" customWidth="1"/>
    <col min="3" max="3" width="36.7109375" customWidth="1"/>
    <col min="4" max="4" width="22.7109375" customWidth="1"/>
    <col min="5" max="5" width="25.7109375" customWidth="1"/>
  </cols>
  <sheetData>
    <row r="1" spans="1:5">
      <c r="A1" s="1" t="s">
        <v>147</v>
      </c>
      <c r="B1" s="1" t="s">
        <v>148</v>
      </c>
      <c r="C1" s="1" t="s">
        <v>149</v>
      </c>
      <c r="D1" s="1" t="s">
        <v>150</v>
      </c>
      <c r="E1" s="1" t="s">
        <v>151</v>
      </c>
    </row>
    <row r="2" spans="1:5">
      <c r="A2" s="6" t="s">
        <v>20</v>
      </c>
      <c r="B2" s="6" t="s">
        <v>152</v>
      </c>
      <c r="C2" s="6" t="s">
        <v>15</v>
      </c>
      <c r="D2" s="7">
        <v>2.1800000000000002</v>
      </c>
      <c r="E2" s="8">
        <v>55.68</v>
      </c>
    </row>
    <row r="3" spans="1:5">
      <c r="A3" s="6" t="s">
        <v>153</v>
      </c>
      <c r="B3" s="6" t="s">
        <v>152</v>
      </c>
      <c r="C3" s="6" t="s">
        <v>15</v>
      </c>
      <c r="D3" s="7">
        <v>8.08</v>
      </c>
      <c r="E3" s="8">
        <v>202.97</v>
      </c>
    </row>
    <row r="4" spans="1:5">
      <c r="A4" s="6" t="s">
        <v>18</v>
      </c>
      <c r="B4" s="6" t="s">
        <v>152</v>
      </c>
      <c r="C4" s="6" t="s">
        <v>15</v>
      </c>
      <c r="D4" s="7">
        <v>4.32</v>
      </c>
      <c r="E4" s="8">
        <v>117.85</v>
      </c>
    </row>
    <row r="5" spans="1:5">
      <c r="A5" s="6" t="s">
        <v>17</v>
      </c>
      <c r="B5" s="6" t="s">
        <v>152</v>
      </c>
      <c r="C5" s="6" t="s">
        <v>15</v>
      </c>
      <c r="D5" s="7">
        <v>0.85</v>
      </c>
      <c r="E5" s="8">
        <v>19.760000000000002</v>
      </c>
    </row>
    <row r="6" spans="1:5">
      <c r="A6" s="6" t="s">
        <v>21</v>
      </c>
      <c r="B6" s="6" t="s">
        <v>152</v>
      </c>
      <c r="C6" s="6" t="s">
        <v>15</v>
      </c>
      <c r="D6" s="7">
        <v>4.12</v>
      </c>
      <c r="E6" s="8">
        <v>128.5</v>
      </c>
    </row>
    <row r="7" spans="1:5">
      <c r="A7" s="204" t="s">
        <v>7</v>
      </c>
      <c r="B7" s="6"/>
      <c r="C7" s="6"/>
      <c r="D7" s="205">
        <f>SUM(D2:D6)</f>
        <v>19.55</v>
      </c>
      <c r="E7" s="206">
        <f>SUM(E2:E6)</f>
        <v>524.76</v>
      </c>
    </row>
    <row r="8" spans="1:5">
      <c r="A8" s="6"/>
      <c r="B8" s="6"/>
      <c r="C8" s="6"/>
      <c r="D8" s="7"/>
      <c r="E8" s="8"/>
    </row>
    <row r="9" spans="1:5">
      <c r="A9" s="2" t="s">
        <v>209</v>
      </c>
      <c r="B9" s="3" t="s">
        <v>154</v>
      </c>
      <c r="C9" s="2" t="s">
        <v>23</v>
      </c>
      <c r="D9" s="7">
        <v>1.28</v>
      </c>
      <c r="E9" s="8">
        <v>35.17</v>
      </c>
    </row>
    <row r="10" spans="1:5">
      <c r="A10" s="6" t="s">
        <v>22</v>
      </c>
      <c r="B10" s="6" t="s">
        <v>154</v>
      </c>
      <c r="C10" s="6" t="s">
        <v>23</v>
      </c>
      <c r="D10" s="7">
        <v>2.9</v>
      </c>
      <c r="E10" s="8">
        <v>85.74</v>
      </c>
    </row>
    <row r="11" spans="1:5">
      <c r="A11" s="204" t="s">
        <v>7</v>
      </c>
      <c r="B11" s="6"/>
      <c r="C11" s="6"/>
      <c r="D11" s="207">
        <f>SUM(D9:D10)</f>
        <v>4.18</v>
      </c>
      <c r="E11" s="206">
        <f>SUM(E9:E10)</f>
        <v>120.91</v>
      </c>
    </row>
    <row r="12" spans="1:5">
      <c r="A12" s="6"/>
      <c r="B12" s="6"/>
      <c r="C12" s="6"/>
      <c r="D12" s="7"/>
      <c r="E12" s="8"/>
    </row>
    <row r="13" spans="1:5">
      <c r="A13" s="6" t="s">
        <v>30</v>
      </c>
      <c r="B13" s="6" t="s">
        <v>155</v>
      </c>
      <c r="C13" s="6" t="s">
        <v>31</v>
      </c>
      <c r="D13" s="7">
        <v>0.77</v>
      </c>
      <c r="E13" s="8">
        <v>19.55</v>
      </c>
    </row>
    <row r="14" spans="1:5">
      <c r="A14" s="6" t="s">
        <v>195</v>
      </c>
      <c r="B14" s="210" t="s">
        <v>155</v>
      </c>
      <c r="C14" s="6" t="s">
        <v>196</v>
      </c>
      <c r="D14" s="7">
        <v>0.62</v>
      </c>
      <c r="E14" s="8">
        <v>17.11</v>
      </c>
    </row>
    <row r="15" spans="1:5">
      <c r="A15" s="204" t="s">
        <v>7</v>
      </c>
      <c r="B15" s="6"/>
      <c r="C15" s="6"/>
      <c r="D15" s="207">
        <f>SUM(D13:D14)</f>
        <v>1.3900000000000001</v>
      </c>
      <c r="E15" s="206">
        <f>SUM(E13:E14)</f>
        <v>36.659999999999997</v>
      </c>
    </row>
    <row r="16" spans="1:5">
      <c r="A16" s="204"/>
      <c r="B16" s="6"/>
      <c r="C16" s="6"/>
      <c r="D16" s="207"/>
      <c r="E16" s="206"/>
    </row>
    <row r="17" spans="1:5">
      <c r="A17" s="6" t="s">
        <v>49</v>
      </c>
      <c r="B17" s="210" t="s">
        <v>198</v>
      </c>
      <c r="C17" s="6" t="s">
        <v>199</v>
      </c>
      <c r="D17" s="7">
        <v>13.22</v>
      </c>
      <c r="E17" s="8">
        <v>277.55</v>
      </c>
    </row>
    <row r="18" spans="1:5">
      <c r="A18" s="6" t="s">
        <v>197</v>
      </c>
      <c r="B18" s="210" t="s">
        <v>198</v>
      </c>
      <c r="C18" s="6" t="s">
        <v>199</v>
      </c>
      <c r="D18" s="7">
        <v>21.87</v>
      </c>
      <c r="E18" s="8">
        <v>508.4</v>
      </c>
    </row>
    <row r="19" spans="1:5">
      <c r="A19" s="204" t="s">
        <v>7</v>
      </c>
      <c r="B19" s="6"/>
      <c r="C19" s="6"/>
      <c r="D19" s="207">
        <f>SUM(D17:D18)</f>
        <v>35.090000000000003</v>
      </c>
      <c r="E19" s="206">
        <f>SUM(E17:E18)</f>
        <v>785.95</v>
      </c>
    </row>
    <row r="20" spans="1:5">
      <c r="A20" s="6"/>
      <c r="B20" s="6"/>
      <c r="C20" s="6"/>
      <c r="D20" s="7"/>
      <c r="E20" s="8"/>
    </row>
    <row r="21" spans="1:5">
      <c r="A21" s="6" t="s">
        <v>14</v>
      </c>
      <c r="B21" s="6" t="s">
        <v>156</v>
      </c>
      <c r="C21" s="6" t="s">
        <v>91</v>
      </c>
      <c r="D21" s="7">
        <v>7.58</v>
      </c>
      <c r="E21" s="8">
        <v>193.38</v>
      </c>
    </row>
    <row r="22" spans="1:5">
      <c r="A22" s="6" t="s">
        <v>94</v>
      </c>
      <c r="B22" s="6" t="s">
        <v>156</v>
      </c>
      <c r="C22" s="6" t="s">
        <v>91</v>
      </c>
      <c r="D22" s="7">
        <v>5.38</v>
      </c>
      <c r="E22" s="8">
        <v>141.31</v>
      </c>
    </row>
    <row r="23" spans="1:5">
      <c r="A23" s="6" t="s">
        <v>92</v>
      </c>
      <c r="B23" s="6" t="s">
        <v>156</v>
      </c>
      <c r="C23" s="6" t="s">
        <v>91</v>
      </c>
      <c r="D23" s="7">
        <v>4.17</v>
      </c>
      <c r="E23" s="8">
        <v>107.06</v>
      </c>
    </row>
    <row r="24" spans="1:5">
      <c r="A24" s="204" t="s">
        <v>7</v>
      </c>
      <c r="B24" s="6"/>
      <c r="C24" s="6"/>
      <c r="D24" s="207">
        <f>SUM(D21:D23)</f>
        <v>17.130000000000003</v>
      </c>
      <c r="E24" s="206">
        <f>SUM(E21:E23)</f>
        <v>441.75</v>
      </c>
    </row>
    <row r="25" spans="1:5">
      <c r="A25" s="6"/>
      <c r="B25" s="6"/>
      <c r="C25" s="6"/>
      <c r="D25" s="7"/>
      <c r="E25" s="8"/>
    </row>
    <row r="26" spans="1:5">
      <c r="A26" s="6" t="s">
        <v>83</v>
      </c>
      <c r="B26" s="6" t="s">
        <v>157</v>
      </c>
      <c r="C26" s="6" t="s">
        <v>66</v>
      </c>
      <c r="D26" s="7">
        <v>4.03</v>
      </c>
      <c r="E26" s="8">
        <v>71.09</v>
      </c>
    </row>
    <row r="27" spans="1:5">
      <c r="A27" s="6" t="s">
        <v>73</v>
      </c>
      <c r="B27" s="6" t="s">
        <v>157</v>
      </c>
      <c r="C27" s="6" t="s">
        <v>66</v>
      </c>
      <c r="D27" s="7">
        <v>31.88</v>
      </c>
      <c r="E27" s="8">
        <v>573.9</v>
      </c>
    </row>
    <row r="28" spans="1:5">
      <c r="A28" s="6" t="s">
        <v>75</v>
      </c>
      <c r="B28" s="6" t="s">
        <v>157</v>
      </c>
      <c r="C28" s="6" t="s">
        <v>66</v>
      </c>
      <c r="D28" s="7">
        <v>5.8</v>
      </c>
      <c r="E28" s="8">
        <v>104.4</v>
      </c>
    </row>
    <row r="29" spans="1:5">
      <c r="A29" s="2" t="s">
        <v>210</v>
      </c>
      <c r="B29" s="3" t="s">
        <v>157</v>
      </c>
      <c r="C29" s="2" t="s">
        <v>66</v>
      </c>
      <c r="D29" s="7">
        <v>10.82</v>
      </c>
      <c r="E29" s="8">
        <v>194.7</v>
      </c>
    </row>
    <row r="30" spans="1:5">
      <c r="A30" s="6" t="s">
        <v>74</v>
      </c>
      <c r="B30" s="6" t="s">
        <v>157</v>
      </c>
      <c r="C30" s="6" t="s">
        <v>66</v>
      </c>
      <c r="D30" s="7">
        <v>37.869999999999997</v>
      </c>
      <c r="E30" s="8">
        <v>738.4</v>
      </c>
    </row>
    <row r="31" spans="1:5">
      <c r="A31" s="6" t="s">
        <v>87</v>
      </c>
      <c r="B31" s="6" t="s">
        <v>157</v>
      </c>
      <c r="C31" s="6" t="s">
        <v>66</v>
      </c>
      <c r="D31" s="7">
        <v>13.98</v>
      </c>
      <c r="E31" s="8">
        <v>314.63</v>
      </c>
    </row>
    <row r="32" spans="1:5">
      <c r="A32" s="6" t="s">
        <v>89</v>
      </c>
      <c r="B32" s="6" t="s">
        <v>157</v>
      </c>
      <c r="C32" s="6" t="s">
        <v>66</v>
      </c>
      <c r="D32" s="7">
        <v>22.48</v>
      </c>
      <c r="E32" s="8">
        <f>383.53+4.31</f>
        <v>387.84</v>
      </c>
    </row>
    <row r="33" spans="1:5">
      <c r="A33" s="6" t="s">
        <v>86</v>
      </c>
      <c r="B33" s="6" t="s">
        <v>157</v>
      </c>
      <c r="C33" s="6" t="s">
        <v>66</v>
      </c>
      <c r="D33" s="7">
        <v>6.67</v>
      </c>
      <c r="E33" s="8">
        <v>130</v>
      </c>
    </row>
    <row r="34" spans="1:5">
      <c r="A34" s="6" t="s">
        <v>84</v>
      </c>
      <c r="B34" s="6" t="s">
        <v>157</v>
      </c>
      <c r="C34" s="6" t="s">
        <v>66</v>
      </c>
      <c r="D34" s="7">
        <v>12.65</v>
      </c>
      <c r="E34" s="8">
        <v>227.7</v>
      </c>
    </row>
    <row r="35" spans="1:5">
      <c r="A35" s="6" t="s">
        <v>201</v>
      </c>
      <c r="B35" s="210" t="s">
        <v>157</v>
      </c>
      <c r="C35" s="6" t="s">
        <v>66</v>
      </c>
      <c r="D35" s="7">
        <v>14.45</v>
      </c>
      <c r="E35" s="8">
        <v>260.10000000000002</v>
      </c>
    </row>
    <row r="36" spans="1:5">
      <c r="A36" s="6" t="s">
        <v>85</v>
      </c>
      <c r="B36" s="6" t="s">
        <v>157</v>
      </c>
      <c r="C36" s="6" t="s">
        <v>66</v>
      </c>
      <c r="D36" s="7">
        <v>15.38</v>
      </c>
      <c r="E36" s="8">
        <v>357.2</v>
      </c>
    </row>
    <row r="37" spans="1:5">
      <c r="A37" s="6" t="s">
        <v>159</v>
      </c>
      <c r="B37" s="6" t="s">
        <v>157</v>
      </c>
      <c r="C37" s="6" t="s">
        <v>66</v>
      </c>
      <c r="D37" s="7">
        <v>19.53</v>
      </c>
      <c r="E37" s="8">
        <v>380.9</v>
      </c>
    </row>
    <row r="38" spans="1:5">
      <c r="A38" s="6" t="s">
        <v>88</v>
      </c>
      <c r="B38" s="6" t="s">
        <v>157</v>
      </c>
      <c r="C38" s="6" t="s">
        <v>66</v>
      </c>
      <c r="D38" s="7">
        <v>17.97</v>
      </c>
      <c r="E38" s="8">
        <v>323.39999999999998</v>
      </c>
    </row>
    <row r="39" spans="1:5">
      <c r="A39" s="6" t="s">
        <v>35</v>
      </c>
      <c r="B39" s="6" t="s">
        <v>157</v>
      </c>
      <c r="C39" s="6" t="s">
        <v>66</v>
      </c>
      <c r="D39" s="7">
        <v>23.32</v>
      </c>
      <c r="E39" s="8">
        <v>512.73</v>
      </c>
    </row>
    <row r="40" spans="1:5">
      <c r="A40" s="6" t="s">
        <v>79</v>
      </c>
      <c r="B40" s="6" t="s">
        <v>157</v>
      </c>
      <c r="C40" s="6" t="s">
        <v>66</v>
      </c>
      <c r="D40" s="7">
        <v>39.15</v>
      </c>
      <c r="E40" s="8">
        <v>910.24</v>
      </c>
    </row>
    <row r="41" spans="1:5">
      <c r="A41" s="6" t="s">
        <v>202</v>
      </c>
      <c r="B41" s="210" t="s">
        <v>157</v>
      </c>
      <c r="C41" s="6" t="s">
        <v>66</v>
      </c>
      <c r="D41" s="7">
        <v>37.42</v>
      </c>
      <c r="E41" s="8">
        <v>729.63</v>
      </c>
    </row>
    <row r="42" spans="1:5">
      <c r="A42" s="6" t="s">
        <v>160</v>
      </c>
      <c r="B42" s="6" t="s">
        <v>157</v>
      </c>
      <c r="C42" s="6" t="s">
        <v>66</v>
      </c>
      <c r="D42" s="7">
        <v>26.08</v>
      </c>
      <c r="E42" s="8">
        <v>508.63</v>
      </c>
    </row>
    <row r="43" spans="1:5">
      <c r="A43" s="6" t="s">
        <v>76</v>
      </c>
      <c r="B43" s="6" t="s">
        <v>157</v>
      </c>
      <c r="C43" s="6" t="s">
        <v>66</v>
      </c>
      <c r="D43" s="7">
        <v>1</v>
      </c>
      <c r="E43" s="8">
        <v>18</v>
      </c>
    </row>
    <row r="44" spans="1:5">
      <c r="A44" s="6" t="s">
        <v>161</v>
      </c>
      <c r="B44" s="6" t="s">
        <v>157</v>
      </c>
      <c r="C44" s="6" t="s">
        <v>66</v>
      </c>
      <c r="D44" s="7">
        <v>12.57</v>
      </c>
      <c r="E44" s="8">
        <v>245.05</v>
      </c>
    </row>
    <row r="45" spans="1:5">
      <c r="A45" s="6" t="s">
        <v>78</v>
      </c>
      <c r="B45" s="6" t="s">
        <v>157</v>
      </c>
      <c r="C45" s="6" t="s">
        <v>66</v>
      </c>
      <c r="D45" s="7">
        <v>1</v>
      </c>
      <c r="E45" s="8">
        <v>17.940000000000001</v>
      </c>
    </row>
    <row r="46" spans="1:5">
      <c r="A46" s="204" t="s">
        <v>7</v>
      </c>
      <c r="B46" s="6"/>
      <c r="C46" s="6"/>
      <c r="D46" s="207">
        <f>SUM(D26:D45)</f>
        <v>354.04999999999995</v>
      </c>
      <c r="E46" s="206">
        <f>SUM(E26:E45)</f>
        <v>7006.48</v>
      </c>
    </row>
    <row r="47" spans="1:5">
      <c r="A47" s="6"/>
      <c r="B47" s="6"/>
      <c r="C47" s="6"/>
      <c r="D47" s="7"/>
      <c r="E47" s="8"/>
    </row>
    <row r="48" spans="1:5">
      <c r="A48" s="6" t="s">
        <v>52</v>
      </c>
      <c r="B48" s="6" t="s">
        <v>162</v>
      </c>
      <c r="C48" s="6" t="s">
        <v>51</v>
      </c>
      <c r="D48" s="7">
        <v>14.15</v>
      </c>
      <c r="E48" s="8">
        <v>307.76</v>
      </c>
    </row>
    <row r="49" spans="1:5">
      <c r="A49" s="6" t="s">
        <v>163</v>
      </c>
      <c r="B49" s="6" t="s">
        <v>162</v>
      </c>
      <c r="C49" s="6" t="s">
        <v>51</v>
      </c>
      <c r="D49" s="7">
        <v>32</v>
      </c>
      <c r="E49" s="8">
        <v>768</v>
      </c>
    </row>
    <row r="50" spans="1:5">
      <c r="A50" s="204" t="s">
        <v>7</v>
      </c>
      <c r="B50" s="6"/>
      <c r="C50" s="6"/>
      <c r="D50" s="207">
        <f>SUM(D48:D49)</f>
        <v>46.15</v>
      </c>
      <c r="E50" s="206">
        <f>SUM(E48:E49)</f>
        <v>1075.76</v>
      </c>
    </row>
    <row r="51" spans="1:5">
      <c r="A51" s="6"/>
      <c r="B51" s="6"/>
      <c r="C51" s="6"/>
      <c r="D51" s="7"/>
      <c r="E51" s="8"/>
    </row>
    <row r="52" spans="1:5">
      <c r="A52" s="2" t="s">
        <v>203</v>
      </c>
      <c r="B52" s="3" t="s">
        <v>164</v>
      </c>
      <c r="C52" s="2" t="s">
        <v>60</v>
      </c>
      <c r="D52" s="7">
        <v>19.73</v>
      </c>
      <c r="E52" s="8">
        <v>370</v>
      </c>
    </row>
    <row r="53" spans="1:5">
      <c r="A53" s="6" t="s">
        <v>63</v>
      </c>
      <c r="B53" s="6" t="s">
        <v>164</v>
      </c>
      <c r="C53" s="6" t="s">
        <v>60</v>
      </c>
      <c r="D53" s="7">
        <v>16.100000000000001</v>
      </c>
      <c r="E53" s="8">
        <v>277.73</v>
      </c>
    </row>
    <row r="54" spans="1:5">
      <c r="A54" s="6" t="s">
        <v>64</v>
      </c>
      <c r="B54" s="6" t="s">
        <v>164</v>
      </c>
      <c r="C54" s="6" t="s">
        <v>60</v>
      </c>
      <c r="D54" s="7">
        <v>29.45</v>
      </c>
      <c r="E54" s="8">
        <v>485.93</v>
      </c>
    </row>
    <row r="55" spans="1:5">
      <c r="A55" s="204" t="s">
        <v>7</v>
      </c>
      <c r="B55" s="6"/>
      <c r="C55" s="6"/>
      <c r="D55" s="207">
        <f>SUM(D52:D54)</f>
        <v>65.28</v>
      </c>
      <c r="E55" s="206">
        <f>SUM(E52:E54)</f>
        <v>1133.6600000000001</v>
      </c>
    </row>
    <row r="56" spans="1:5">
      <c r="A56" s="2"/>
      <c r="B56" s="3"/>
      <c r="C56" s="2"/>
      <c r="D56" s="7"/>
      <c r="E56" s="8"/>
    </row>
    <row r="57" spans="1:5">
      <c r="A57" s="6" t="s">
        <v>166</v>
      </c>
      <c r="B57" s="6" t="s">
        <v>167</v>
      </c>
      <c r="C57" s="6" t="s">
        <v>54</v>
      </c>
      <c r="D57" s="7">
        <v>11.37</v>
      </c>
      <c r="E57" s="8">
        <v>255.75</v>
      </c>
    </row>
    <row r="58" spans="1:5">
      <c r="A58" s="6" t="s">
        <v>55</v>
      </c>
      <c r="B58" s="6" t="s">
        <v>167</v>
      </c>
      <c r="C58" s="6" t="s">
        <v>54</v>
      </c>
      <c r="D58" s="7">
        <v>9.8000000000000007</v>
      </c>
      <c r="E58" s="8">
        <v>205.8</v>
      </c>
    </row>
    <row r="59" spans="1:5">
      <c r="A59" s="6" t="s">
        <v>58</v>
      </c>
      <c r="B59" s="6" t="s">
        <v>167</v>
      </c>
      <c r="C59" s="6" t="s">
        <v>54</v>
      </c>
      <c r="D59" s="7">
        <v>18.98</v>
      </c>
      <c r="E59" s="8">
        <v>486.35</v>
      </c>
    </row>
    <row r="60" spans="1:5">
      <c r="A60" s="6" t="s">
        <v>57</v>
      </c>
      <c r="B60" s="6" t="s">
        <v>167</v>
      </c>
      <c r="C60" s="6" t="s">
        <v>54</v>
      </c>
      <c r="D60" s="7">
        <v>9.3699999999999992</v>
      </c>
      <c r="E60" s="8">
        <v>203.73</v>
      </c>
    </row>
    <row r="61" spans="1:5">
      <c r="A61" s="204" t="s">
        <v>7</v>
      </c>
      <c r="B61" s="6"/>
      <c r="C61" s="6"/>
      <c r="D61" s="207">
        <f>SUM(D57:D60)</f>
        <v>49.52</v>
      </c>
      <c r="E61" s="206">
        <f>SUM(E57:E60)</f>
        <v>1151.6300000000001</v>
      </c>
    </row>
    <row r="62" spans="1:5">
      <c r="A62" s="204"/>
      <c r="B62" s="6"/>
      <c r="C62" s="6"/>
      <c r="D62" s="207"/>
      <c r="E62" s="206"/>
    </row>
    <row r="63" spans="1:5">
      <c r="A63" s="6" t="s">
        <v>42</v>
      </c>
      <c r="B63" s="210" t="s">
        <v>170</v>
      </c>
      <c r="C63" s="6" t="s">
        <v>43</v>
      </c>
      <c r="D63" s="7">
        <v>5.87</v>
      </c>
      <c r="E63" s="8">
        <v>173.8</v>
      </c>
    </row>
    <row r="64" spans="1:5">
      <c r="A64" s="204" t="s">
        <v>7</v>
      </c>
      <c r="B64" s="6"/>
      <c r="C64" s="6"/>
      <c r="D64" s="207">
        <v>5.87</v>
      </c>
      <c r="E64" s="206">
        <v>173.8</v>
      </c>
    </row>
    <row r="65" spans="1:5">
      <c r="A65" s="6"/>
      <c r="B65" s="6"/>
      <c r="C65" s="6"/>
      <c r="D65" s="7"/>
      <c r="E65" s="8"/>
    </row>
    <row r="66" spans="1:5">
      <c r="A66" s="6" t="s">
        <v>27</v>
      </c>
      <c r="B66" s="6" t="s">
        <v>171</v>
      </c>
      <c r="C66" s="6" t="s">
        <v>25</v>
      </c>
      <c r="D66" s="7">
        <v>2.58</v>
      </c>
      <c r="E66" s="8">
        <v>67.849999999999994</v>
      </c>
    </row>
    <row r="67" spans="1:5">
      <c r="A67" s="6" t="s">
        <v>26</v>
      </c>
      <c r="B67" s="6" t="s">
        <v>171</v>
      </c>
      <c r="C67" s="6" t="s">
        <v>25</v>
      </c>
      <c r="D67" s="7">
        <v>0.7</v>
      </c>
      <c r="E67" s="8">
        <v>18.48</v>
      </c>
    </row>
    <row r="68" spans="1:5">
      <c r="A68" s="204" t="s">
        <v>7</v>
      </c>
      <c r="B68" s="6"/>
      <c r="C68" s="6"/>
      <c r="D68" s="207">
        <f>SUM(D66:D67)</f>
        <v>3.2800000000000002</v>
      </c>
      <c r="E68" s="206">
        <f>SUM(E66:E67)</f>
        <v>86.33</v>
      </c>
    </row>
    <row r="69" spans="1:5">
      <c r="A69" s="6"/>
      <c r="B69" s="6"/>
      <c r="C69" s="6"/>
      <c r="D69" s="7"/>
      <c r="E69" s="8"/>
    </row>
    <row r="70" spans="1:5">
      <c r="A70" s="6" t="s">
        <v>11</v>
      </c>
      <c r="B70" s="6" t="s">
        <v>172</v>
      </c>
      <c r="C70" s="6" t="s">
        <v>12</v>
      </c>
      <c r="D70" s="7">
        <v>2.83</v>
      </c>
      <c r="E70" s="8">
        <v>91.38</v>
      </c>
    </row>
    <row r="71" spans="1:5">
      <c r="A71" s="6" t="s">
        <v>13</v>
      </c>
      <c r="B71" s="6" t="s">
        <v>172</v>
      </c>
      <c r="C71" s="6" t="s">
        <v>12</v>
      </c>
      <c r="D71" s="7">
        <v>9.65</v>
      </c>
      <c r="E71" s="8">
        <v>347.98</v>
      </c>
    </row>
    <row r="72" spans="1:5">
      <c r="A72" s="204" t="s">
        <v>7</v>
      </c>
      <c r="B72" s="6"/>
      <c r="C72" s="6"/>
      <c r="D72" s="207">
        <f>SUM(D70:D71)</f>
        <v>12.48</v>
      </c>
      <c r="E72" s="206">
        <f>SUM(E70:E71)</f>
        <v>439.36</v>
      </c>
    </row>
    <row r="73" spans="1:5">
      <c r="A73" s="204"/>
      <c r="B73" s="6"/>
      <c r="C73" s="6"/>
      <c r="D73" s="207"/>
      <c r="E73" s="206"/>
    </row>
    <row r="74" spans="1:5">
      <c r="A74" s="6" t="s">
        <v>205</v>
      </c>
      <c r="B74" s="6">
        <v>100035</v>
      </c>
      <c r="C74" s="6" t="s">
        <v>206</v>
      </c>
      <c r="D74" s="7">
        <v>1.1200000000000001</v>
      </c>
      <c r="E74" s="8">
        <v>32.21</v>
      </c>
    </row>
    <row r="75" spans="1:5">
      <c r="A75" s="204" t="s">
        <v>7</v>
      </c>
      <c r="B75" s="6"/>
      <c r="C75" s="6"/>
      <c r="D75" s="207">
        <f>SUM(D74)</f>
        <v>1.1200000000000001</v>
      </c>
      <c r="E75" s="206">
        <f>SUM(E74)</f>
        <v>32.21</v>
      </c>
    </row>
    <row r="76" spans="1:5">
      <c r="A76" s="6"/>
      <c r="B76" s="6"/>
      <c r="C76" s="6"/>
      <c r="D76" s="7"/>
      <c r="E76" s="8"/>
    </row>
    <row r="77" spans="1:5">
      <c r="A77" s="2" t="s">
        <v>36</v>
      </c>
      <c r="B77" s="6">
        <v>100051</v>
      </c>
      <c r="C77" s="2" t="s">
        <v>34</v>
      </c>
      <c r="D77" s="7">
        <v>16</v>
      </c>
      <c r="E77" s="8">
        <v>336</v>
      </c>
    </row>
    <row r="78" spans="1:5">
      <c r="A78" s="6" t="s">
        <v>211</v>
      </c>
      <c r="B78" s="6">
        <v>100051</v>
      </c>
      <c r="C78" s="6" t="s">
        <v>34</v>
      </c>
      <c r="D78" s="7">
        <v>0.25</v>
      </c>
      <c r="E78" s="8">
        <v>4.3099999999999996</v>
      </c>
    </row>
    <row r="79" spans="1:5">
      <c r="A79" s="6" t="s">
        <v>212</v>
      </c>
      <c r="B79" s="6">
        <v>100051</v>
      </c>
      <c r="C79" s="6" t="s">
        <v>34</v>
      </c>
      <c r="D79" s="7">
        <v>0.27</v>
      </c>
      <c r="E79" s="8">
        <v>4.5999999999999996</v>
      </c>
    </row>
    <row r="80" spans="1:5">
      <c r="A80" s="6" t="s">
        <v>213</v>
      </c>
      <c r="B80" s="6" t="s">
        <v>174</v>
      </c>
      <c r="C80" s="6" t="s">
        <v>34</v>
      </c>
      <c r="D80" s="7">
        <v>0.12</v>
      </c>
      <c r="E80" s="8">
        <v>2.0099999999999998</v>
      </c>
    </row>
    <row r="81" spans="1:5">
      <c r="A81" s="6" t="s">
        <v>214</v>
      </c>
      <c r="B81" s="6">
        <v>100051</v>
      </c>
      <c r="C81" s="6" t="s">
        <v>34</v>
      </c>
      <c r="D81" s="7">
        <v>1.87</v>
      </c>
      <c r="E81" s="8">
        <v>35.479999999999997</v>
      </c>
    </row>
    <row r="82" spans="1:5">
      <c r="A82" s="204" t="s">
        <v>7</v>
      </c>
      <c r="B82" s="6"/>
      <c r="C82" s="6"/>
      <c r="D82" s="207">
        <f>SUM(D77:D81)</f>
        <v>18.510000000000002</v>
      </c>
      <c r="E82" s="206">
        <f>SUM(E77:E81)</f>
        <v>382.40000000000003</v>
      </c>
    </row>
    <row r="83" spans="1:5">
      <c r="A83" s="6"/>
      <c r="B83" s="6"/>
      <c r="C83" s="6"/>
      <c r="D83" s="7"/>
      <c r="E83" s="8"/>
    </row>
    <row r="84" spans="1:5">
      <c r="A84" s="6" t="s">
        <v>136</v>
      </c>
      <c r="B84" s="6" t="s">
        <v>177</v>
      </c>
      <c r="C84" s="6" t="s">
        <v>137</v>
      </c>
      <c r="D84" s="7">
        <v>0.9</v>
      </c>
      <c r="E84" s="8">
        <v>25.65</v>
      </c>
    </row>
    <row r="85" spans="1:5">
      <c r="A85" s="204" t="s">
        <v>7</v>
      </c>
      <c r="B85" s="6"/>
      <c r="C85" s="6"/>
      <c r="D85" s="207">
        <f>SUM(D84)</f>
        <v>0.9</v>
      </c>
      <c r="E85" s="206">
        <f>SUM(E84)</f>
        <v>25.65</v>
      </c>
    </row>
    <row r="86" spans="1:5">
      <c r="A86" s="6"/>
      <c r="B86" s="6"/>
      <c r="C86" s="6"/>
      <c r="D86" s="7"/>
      <c r="E86" s="8"/>
    </row>
    <row r="87" spans="1:5">
      <c r="A87" s="6" t="s">
        <v>145</v>
      </c>
      <c r="B87" s="6" t="s">
        <v>178</v>
      </c>
      <c r="C87" s="6" t="s">
        <v>146</v>
      </c>
      <c r="D87" s="7">
        <v>4.57</v>
      </c>
      <c r="E87" s="8">
        <v>131.72999999999999</v>
      </c>
    </row>
    <row r="88" spans="1:5">
      <c r="A88" s="204" t="s">
        <v>7</v>
      </c>
      <c r="B88" s="6"/>
      <c r="C88" s="6"/>
      <c r="D88" s="207">
        <f>SUM(D87)</f>
        <v>4.57</v>
      </c>
      <c r="E88" s="206">
        <f>SUM(E87)</f>
        <v>131.72999999999999</v>
      </c>
    </row>
    <row r="89" spans="1:5">
      <c r="A89" s="6"/>
      <c r="B89" s="6"/>
      <c r="C89" s="6"/>
      <c r="D89" s="7"/>
      <c r="E89" s="8"/>
    </row>
    <row r="90" spans="1:5">
      <c r="A90" s="6" t="s">
        <v>143</v>
      </c>
      <c r="B90" s="6" t="s">
        <v>179</v>
      </c>
      <c r="C90" s="6" t="s">
        <v>141</v>
      </c>
      <c r="D90" s="7">
        <v>21.37</v>
      </c>
      <c r="E90" s="8">
        <v>415.69</v>
      </c>
    </row>
    <row r="91" spans="1:5">
      <c r="A91" s="2" t="s">
        <v>142</v>
      </c>
      <c r="B91" s="6">
        <v>290051</v>
      </c>
      <c r="C91" s="2" t="s">
        <v>141</v>
      </c>
      <c r="D91" s="7">
        <v>6.42</v>
      </c>
      <c r="E91" s="8">
        <v>96.25</v>
      </c>
    </row>
    <row r="92" spans="1:5">
      <c r="A92" s="2" t="s">
        <v>200</v>
      </c>
      <c r="B92" s="6">
        <v>290051</v>
      </c>
      <c r="C92" s="2" t="s">
        <v>141</v>
      </c>
      <c r="D92" s="7">
        <v>9.5299999999999994</v>
      </c>
      <c r="E92" s="8">
        <v>143</v>
      </c>
    </row>
    <row r="93" spans="1:5">
      <c r="A93" s="6" t="s">
        <v>215</v>
      </c>
      <c r="B93" s="6">
        <v>290051</v>
      </c>
      <c r="C93" s="6" t="s">
        <v>141</v>
      </c>
      <c r="D93" s="7">
        <v>21.3</v>
      </c>
      <c r="E93" s="8">
        <v>325.57</v>
      </c>
    </row>
    <row r="94" spans="1:5">
      <c r="A94" s="6" t="s">
        <v>144</v>
      </c>
      <c r="B94" s="6" t="s">
        <v>179</v>
      </c>
      <c r="C94" s="6" t="s">
        <v>141</v>
      </c>
      <c r="D94" s="7">
        <v>22.98</v>
      </c>
      <c r="E94" s="8">
        <v>406.12</v>
      </c>
    </row>
    <row r="95" spans="1:5">
      <c r="A95" s="204" t="s">
        <v>7</v>
      </c>
      <c r="B95" s="6"/>
      <c r="C95" s="6"/>
      <c r="D95" s="207">
        <f>SUM(D90:D94)</f>
        <v>81.600000000000009</v>
      </c>
      <c r="E95" s="206">
        <f>SUM(E90:E94)</f>
        <v>1386.63</v>
      </c>
    </row>
    <row r="96" spans="1:5">
      <c r="A96" s="6"/>
      <c r="B96" s="6"/>
      <c r="C96" s="6"/>
      <c r="D96" s="7"/>
      <c r="E96" s="8"/>
    </row>
    <row r="97" spans="1:5">
      <c r="A97" s="6" t="s">
        <v>95</v>
      </c>
      <c r="B97" s="6" t="s">
        <v>180</v>
      </c>
      <c r="C97" s="6" t="s">
        <v>96</v>
      </c>
      <c r="D97" s="7">
        <v>4.3499999999999996</v>
      </c>
      <c r="E97" s="8">
        <v>117.38</v>
      </c>
    </row>
    <row r="98" spans="1:5">
      <c r="A98" s="204" t="s">
        <v>7</v>
      </c>
      <c r="B98" s="6"/>
      <c r="C98" s="6"/>
      <c r="D98" s="207">
        <f>SUM(D97)</f>
        <v>4.3499999999999996</v>
      </c>
      <c r="E98" s="206">
        <f>SUM(E97)</f>
        <v>117.38</v>
      </c>
    </row>
    <row r="99" spans="1:5">
      <c r="A99" s="6"/>
      <c r="B99" s="6"/>
      <c r="C99" s="6"/>
      <c r="D99" s="7"/>
      <c r="E99" s="8"/>
    </row>
    <row r="100" spans="1:5">
      <c r="A100" s="6" t="s">
        <v>99</v>
      </c>
      <c r="B100" s="6" t="s">
        <v>181</v>
      </c>
      <c r="C100" s="6" t="s">
        <v>98</v>
      </c>
      <c r="D100" s="7">
        <v>1.17</v>
      </c>
      <c r="E100" s="8">
        <v>26.25</v>
      </c>
    </row>
    <row r="101" spans="1:5">
      <c r="A101" s="6" t="s">
        <v>97</v>
      </c>
      <c r="B101" s="6" t="s">
        <v>181</v>
      </c>
      <c r="C101" s="6" t="s">
        <v>98</v>
      </c>
      <c r="D101" s="7">
        <v>0.4</v>
      </c>
      <c r="E101" s="8">
        <v>11.89</v>
      </c>
    </row>
    <row r="102" spans="1:5">
      <c r="A102" s="204" t="s">
        <v>7</v>
      </c>
      <c r="B102" s="6"/>
      <c r="C102" s="6"/>
      <c r="D102" s="207">
        <f>SUM(D100:D101)</f>
        <v>1.5699999999999998</v>
      </c>
      <c r="E102" s="206">
        <f>SUM(E100:E101)</f>
        <v>38.14</v>
      </c>
    </row>
    <row r="103" spans="1:5">
      <c r="A103" s="6"/>
      <c r="B103" s="6"/>
      <c r="C103" s="6"/>
      <c r="D103" s="7"/>
      <c r="E103" s="8"/>
    </row>
    <row r="104" spans="1:5">
      <c r="A104" s="6" t="s">
        <v>100</v>
      </c>
      <c r="B104" s="6" t="s">
        <v>182</v>
      </c>
      <c r="C104" s="6" t="s">
        <v>101</v>
      </c>
      <c r="D104" s="7">
        <v>1.58</v>
      </c>
      <c r="E104" s="8">
        <v>45.91</v>
      </c>
    </row>
    <row r="105" spans="1:5">
      <c r="A105" s="204" t="s">
        <v>7</v>
      </c>
      <c r="B105" s="6"/>
      <c r="C105" s="6"/>
      <c r="D105" s="207">
        <f>SUM(D104)</f>
        <v>1.58</v>
      </c>
      <c r="E105" s="206">
        <f>SUM(E104)</f>
        <v>45.91</v>
      </c>
    </row>
    <row r="106" spans="1:5">
      <c r="A106" s="6"/>
      <c r="B106" s="6"/>
      <c r="C106" s="6"/>
      <c r="D106" s="7"/>
      <c r="E106" s="8"/>
    </row>
    <row r="107" spans="1:5">
      <c r="A107" s="6" t="s">
        <v>133</v>
      </c>
      <c r="B107" s="6" t="s">
        <v>185</v>
      </c>
      <c r="C107" s="6" t="s">
        <v>134</v>
      </c>
      <c r="D107" s="7">
        <v>21.68</v>
      </c>
      <c r="E107" s="8">
        <v>455.35</v>
      </c>
    </row>
    <row r="108" spans="1:5">
      <c r="A108" s="204" t="s">
        <v>7</v>
      </c>
      <c r="B108" s="6"/>
      <c r="C108" s="6"/>
      <c r="D108" s="207">
        <f>SUM(D107)</f>
        <v>21.68</v>
      </c>
      <c r="E108" s="206">
        <f>SUM(E107)</f>
        <v>455.35</v>
      </c>
    </row>
    <row r="109" spans="1:5">
      <c r="A109" s="6"/>
      <c r="B109" s="6"/>
      <c r="C109" s="6"/>
      <c r="D109" s="7"/>
      <c r="E109" s="8"/>
    </row>
    <row r="110" spans="1:5">
      <c r="A110" s="2" t="s">
        <v>123</v>
      </c>
      <c r="B110" s="6">
        <v>450045</v>
      </c>
      <c r="C110" s="2" t="s">
        <v>131</v>
      </c>
      <c r="D110" s="7">
        <v>54.1</v>
      </c>
      <c r="E110" s="8">
        <v>912.94</v>
      </c>
    </row>
    <row r="111" spans="1:5">
      <c r="A111" s="6" t="s">
        <v>132</v>
      </c>
      <c r="B111" s="6" t="s">
        <v>186</v>
      </c>
      <c r="C111" s="6" t="s">
        <v>131</v>
      </c>
      <c r="D111" s="7">
        <v>18.88</v>
      </c>
      <c r="E111" s="8">
        <v>334.24</v>
      </c>
    </row>
    <row r="112" spans="1:5">
      <c r="A112" s="6" t="s">
        <v>106</v>
      </c>
      <c r="B112" s="6" t="s">
        <v>186</v>
      </c>
      <c r="C112" s="6" t="s">
        <v>131</v>
      </c>
      <c r="D112" s="7">
        <f>39.13+3</f>
        <v>42.13</v>
      </c>
      <c r="E112" s="8">
        <f>645.7+49.5</f>
        <v>695.2</v>
      </c>
    </row>
    <row r="113" spans="1:5">
      <c r="A113" s="204" t="s">
        <v>7</v>
      </c>
      <c r="B113" s="6"/>
      <c r="C113" s="6"/>
      <c r="D113" s="207">
        <f>SUM(D110:D112)</f>
        <v>115.11000000000001</v>
      </c>
      <c r="E113" s="206">
        <f>SUM(E110:E112)</f>
        <v>1942.38</v>
      </c>
    </row>
    <row r="114" spans="1:5">
      <c r="A114" s="6"/>
      <c r="B114" s="6"/>
      <c r="C114" s="6"/>
      <c r="D114" s="7"/>
      <c r="E114" s="8"/>
    </row>
    <row r="115" spans="1:5">
      <c r="A115" s="6" t="s">
        <v>127</v>
      </c>
      <c r="B115" s="6" t="s">
        <v>187</v>
      </c>
      <c r="C115" s="6" t="s">
        <v>128</v>
      </c>
      <c r="D115" s="7">
        <v>5.32</v>
      </c>
      <c r="E115" s="8">
        <v>143.55000000000001</v>
      </c>
    </row>
    <row r="116" spans="1:5">
      <c r="A116" s="204" t="s">
        <v>7</v>
      </c>
      <c r="B116" s="6"/>
      <c r="C116" s="6"/>
      <c r="D116" s="207">
        <f>SUM(D115)</f>
        <v>5.32</v>
      </c>
      <c r="E116" s="206">
        <f>SUM(E115)</f>
        <v>143.55000000000001</v>
      </c>
    </row>
    <row r="117" spans="1:5">
      <c r="A117" s="6"/>
      <c r="B117" s="6"/>
      <c r="C117" s="6"/>
      <c r="D117" s="7"/>
      <c r="E117" s="8"/>
    </row>
    <row r="118" spans="1:5">
      <c r="A118" s="6" t="s">
        <v>130</v>
      </c>
      <c r="B118" s="6" t="s">
        <v>188</v>
      </c>
      <c r="C118" s="6" t="s">
        <v>129</v>
      </c>
      <c r="D118" s="7">
        <v>24.83</v>
      </c>
      <c r="E118" s="8">
        <v>384.79</v>
      </c>
    </row>
    <row r="119" spans="1:5">
      <c r="A119" s="6" t="s">
        <v>121</v>
      </c>
      <c r="B119" s="6" t="s">
        <v>188</v>
      </c>
      <c r="C119" s="6" t="s">
        <v>129</v>
      </c>
      <c r="D119" s="7">
        <v>17.670000000000002</v>
      </c>
      <c r="E119" s="8">
        <v>414.2</v>
      </c>
    </row>
    <row r="120" spans="1:5">
      <c r="A120" s="204" t="s">
        <v>7</v>
      </c>
      <c r="B120" s="6"/>
      <c r="C120" s="6"/>
      <c r="D120" s="207">
        <f>SUM(D118:D119)</f>
        <v>42.5</v>
      </c>
      <c r="E120" s="206">
        <f>SUM(E118:E119)</f>
        <v>798.99</v>
      </c>
    </row>
    <row r="121" spans="1:5">
      <c r="A121" s="6"/>
      <c r="B121" s="6"/>
      <c r="C121" s="6"/>
      <c r="D121" s="7"/>
      <c r="E121" s="8"/>
    </row>
    <row r="122" spans="1:5">
      <c r="A122" s="6" t="s">
        <v>108</v>
      </c>
      <c r="B122" s="6" t="s">
        <v>189</v>
      </c>
      <c r="C122" s="6" t="s">
        <v>104</v>
      </c>
      <c r="D122" s="7">
        <v>8.0299999999999994</v>
      </c>
      <c r="E122" s="8">
        <v>123.75</v>
      </c>
    </row>
    <row r="123" spans="1:5">
      <c r="A123" s="6" t="s">
        <v>190</v>
      </c>
      <c r="B123" s="6" t="s">
        <v>189</v>
      </c>
      <c r="C123" s="6" t="s">
        <v>104</v>
      </c>
      <c r="D123" s="7">
        <v>25.92</v>
      </c>
      <c r="E123" s="8">
        <v>338.99</v>
      </c>
    </row>
    <row r="124" spans="1:5">
      <c r="A124" s="2" t="s">
        <v>216</v>
      </c>
      <c r="B124" s="6">
        <v>450051</v>
      </c>
      <c r="C124" s="2" t="s">
        <v>104</v>
      </c>
      <c r="D124" s="7">
        <v>8.35</v>
      </c>
      <c r="E124" s="8">
        <v>106.46</v>
      </c>
    </row>
    <row r="125" spans="1:5">
      <c r="A125" s="6" t="s">
        <v>109</v>
      </c>
      <c r="B125" s="6" t="s">
        <v>189</v>
      </c>
      <c r="C125" s="6" t="s">
        <v>104</v>
      </c>
      <c r="D125" s="7">
        <v>14.77</v>
      </c>
      <c r="E125" s="8">
        <v>201.57</v>
      </c>
    </row>
    <row r="126" spans="1:5">
      <c r="A126" s="6" t="s">
        <v>115</v>
      </c>
      <c r="B126" s="6" t="s">
        <v>189</v>
      </c>
      <c r="C126" s="6" t="s">
        <v>104</v>
      </c>
      <c r="D126" s="7">
        <v>18.68</v>
      </c>
      <c r="E126" s="8">
        <v>302.11</v>
      </c>
    </row>
    <row r="127" spans="1:5">
      <c r="A127" s="6" t="s">
        <v>119</v>
      </c>
      <c r="B127" s="6" t="s">
        <v>189</v>
      </c>
      <c r="C127" s="6" t="s">
        <v>104</v>
      </c>
      <c r="D127" s="7">
        <v>25.73</v>
      </c>
      <c r="E127" s="8">
        <v>420.35</v>
      </c>
    </row>
    <row r="128" spans="1:5">
      <c r="A128" s="6" t="s">
        <v>103</v>
      </c>
      <c r="B128" s="6" t="s">
        <v>189</v>
      </c>
      <c r="C128" s="6" t="s">
        <v>104</v>
      </c>
      <c r="D128" s="7">
        <v>24.38</v>
      </c>
      <c r="E128" s="8">
        <v>342.34</v>
      </c>
    </row>
    <row r="129" spans="1:5">
      <c r="A129" s="6" t="s">
        <v>117</v>
      </c>
      <c r="B129" s="6" t="s">
        <v>189</v>
      </c>
      <c r="C129" s="6" t="s">
        <v>104</v>
      </c>
      <c r="D129" s="7">
        <f>18.77+8.42</f>
        <v>27.189999999999998</v>
      </c>
      <c r="E129" s="8">
        <f>298.95+134.08</f>
        <v>433.03</v>
      </c>
    </row>
    <row r="130" spans="1:5">
      <c r="A130" s="6" t="s">
        <v>122</v>
      </c>
      <c r="B130" s="6" t="s">
        <v>189</v>
      </c>
      <c r="C130" s="6" t="s">
        <v>104</v>
      </c>
      <c r="D130" s="7">
        <v>8.0500000000000007</v>
      </c>
      <c r="E130" s="8">
        <v>110.61</v>
      </c>
    </row>
    <row r="131" spans="1:5">
      <c r="A131" s="6" t="s">
        <v>113</v>
      </c>
      <c r="B131" s="6" t="s">
        <v>189</v>
      </c>
      <c r="C131" s="6" t="s">
        <v>104</v>
      </c>
      <c r="D131" s="7">
        <v>15.25</v>
      </c>
      <c r="E131" s="8">
        <v>195.81</v>
      </c>
    </row>
    <row r="132" spans="1:5">
      <c r="A132" s="6" t="s">
        <v>111</v>
      </c>
      <c r="B132" s="6" t="s">
        <v>189</v>
      </c>
      <c r="C132" s="6" t="s">
        <v>104</v>
      </c>
      <c r="D132" s="7">
        <v>20.149999999999999</v>
      </c>
      <c r="E132" s="8">
        <v>289.56</v>
      </c>
    </row>
    <row r="133" spans="1:5">
      <c r="A133" s="6" t="s">
        <v>120</v>
      </c>
      <c r="B133" s="6" t="s">
        <v>189</v>
      </c>
      <c r="C133" s="6" t="s">
        <v>104</v>
      </c>
      <c r="D133" s="7">
        <v>18.78</v>
      </c>
      <c r="E133" s="8">
        <v>325.14</v>
      </c>
    </row>
    <row r="134" spans="1:5">
      <c r="A134" s="6" t="s">
        <v>110</v>
      </c>
      <c r="B134" s="6">
        <v>450051</v>
      </c>
      <c r="C134" s="6" t="s">
        <v>104</v>
      </c>
      <c r="D134" s="7">
        <v>10.18</v>
      </c>
      <c r="E134" s="8">
        <v>168.48</v>
      </c>
    </row>
    <row r="135" spans="1:5">
      <c r="A135" s="6" t="s">
        <v>191</v>
      </c>
      <c r="B135" s="6" t="s">
        <v>189</v>
      </c>
      <c r="C135" s="6" t="s">
        <v>104</v>
      </c>
      <c r="D135" s="7">
        <v>16.149999999999999</v>
      </c>
      <c r="E135" s="8">
        <v>235.01</v>
      </c>
    </row>
    <row r="136" spans="1:5">
      <c r="A136" s="6" t="s">
        <v>112</v>
      </c>
      <c r="B136" s="6" t="s">
        <v>189</v>
      </c>
      <c r="C136" s="6" t="s">
        <v>104</v>
      </c>
      <c r="D136" s="7">
        <v>26.03</v>
      </c>
      <c r="E136" s="8">
        <v>429.55</v>
      </c>
    </row>
    <row r="137" spans="1:5">
      <c r="A137" s="6" t="s">
        <v>116</v>
      </c>
      <c r="B137" s="6" t="s">
        <v>189</v>
      </c>
      <c r="C137" s="6" t="s">
        <v>104</v>
      </c>
      <c r="D137" s="7">
        <v>14.72</v>
      </c>
      <c r="E137" s="8">
        <v>198.68</v>
      </c>
    </row>
    <row r="138" spans="1:5">
      <c r="A138" s="6" t="s">
        <v>118</v>
      </c>
      <c r="B138" s="6" t="s">
        <v>189</v>
      </c>
      <c r="C138" s="6" t="s">
        <v>104</v>
      </c>
      <c r="D138" s="7">
        <v>29.97</v>
      </c>
      <c r="E138" s="8">
        <v>631.4</v>
      </c>
    </row>
    <row r="139" spans="1:5">
      <c r="A139" s="6" t="s">
        <v>124</v>
      </c>
      <c r="B139" s="6" t="s">
        <v>189</v>
      </c>
      <c r="C139" s="6" t="s">
        <v>104</v>
      </c>
      <c r="D139" s="7">
        <v>46.17</v>
      </c>
      <c r="E139" s="8">
        <v>1038.75</v>
      </c>
    </row>
    <row r="140" spans="1:5">
      <c r="A140" s="6" t="s">
        <v>105</v>
      </c>
      <c r="B140" s="6">
        <v>450051</v>
      </c>
      <c r="C140" s="6" t="s">
        <v>104</v>
      </c>
      <c r="D140" s="7">
        <v>34.03</v>
      </c>
      <c r="E140" s="8">
        <v>554.4</v>
      </c>
    </row>
    <row r="141" spans="1:5">
      <c r="A141" s="204" t="s">
        <v>7</v>
      </c>
      <c r="B141" s="6"/>
      <c r="C141" s="6"/>
      <c r="D141" s="207">
        <f>SUM(D122:D140)</f>
        <v>392.53000000000009</v>
      </c>
      <c r="E141" s="206">
        <f>SUM(E122:E140)</f>
        <v>6445.99</v>
      </c>
    </row>
    <row r="142" spans="1:5">
      <c r="A142" s="204"/>
      <c r="B142" s="6"/>
      <c r="C142" s="6"/>
      <c r="D142" s="207"/>
      <c r="E142" s="206"/>
    </row>
    <row r="143" spans="1:5">
      <c r="A143" s="6" t="s">
        <v>41</v>
      </c>
      <c r="B143" s="6" t="s">
        <v>192</v>
      </c>
      <c r="C143" s="6" t="s">
        <v>193</v>
      </c>
      <c r="D143" s="7">
        <v>3.03</v>
      </c>
      <c r="E143" s="8">
        <v>71.66</v>
      </c>
    </row>
    <row r="144" spans="1:5">
      <c r="A144" s="204" t="s">
        <v>7</v>
      </c>
      <c r="B144" s="6"/>
      <c r="C144" s="6"/>
      <c r="D144" s="207">
        <f>SUM(D143)</f>
        <v>3.03</v>
      </c>
      <c r="E144" s="206">
        <f>SUM(E143)</f>
        <v>71.66</v>
      </c>
    </row>
    <row r="145" spans="1:5">
      <c r="A145" s="6"/>
      <c r="B145" s="6"/>
      <c r="C145" s="6"/>
      <c r="D145" s="7"/>
      <c r="E145" s="8"/>
    </row>
    <row r="146" spans="1:5">
      <c r="D146" s="4"/>
      <c r="E146" s="5"/>
    </row>
    <row r="147" spans="1:5">
      <c r="A147" s="1" t="s">
        <v>194</v>
      </c>
      <c r="D147" s="208">
        <f>D144+D141+D120+D116+D113+D108+D105+D102+D98+D95+D88+D85+D82+D75+D72+D68+D64+D61+D55+D50+D46+D24+D19+D15+D11+D7</f>
        <v>1308.3400000000001</v>
      </c>
      <c r="E147" s="206">
        <f>E144+E141+E120+E116+E113+E108+E105+E102+E98+E95+E88+E85+E82+E75+E72+E68+E64+E61+E55+E50+E46+E24+E19+E15+E11+E7</f>
        <v>24995.019999999997</v>
      </c>
    </row>
  </sheetData>
  <pageMargins left="0.75" right="0.75" top="1" bottom="1" header="0.5" footer="0.5"/>
  <pageSetup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105"/>
  <sheetViews>
    <sheetView topLeftCell="A72" workbookViewId="0">
      <selection activeCell="H86" sqref="H86"/>
    </sheetView>
  </sheetViews>
  <sheetFormatPr defaultRowHeight="12.75"/>
  <cols>
    <col min="1" max="1" width="19.42578125" bestFit="1" customWidth="1"/>
    <col min="2" max="2" width="23.140625" bestFit="1" customWidth="1"/>
    <col min="3" max="3" width="33.85546875" bestFit="1" customWidth="1"/>
    <col min="4" max="4" width="20.42578125" bestFit="1" customWidth="1"/>
    <col min="5" max="5" width="23.28515625" bestFit="1" customWidth="1"/>
    <col min="6" max="6" width="13.85546875" bestFit="1" customWidth="1"/>
    <col min="7" max="7" width="10.85546875" bestFit="1" customWidth="1"/>
    <col min="8" max="8" width="17.28515625" bestFit="1" customWidth="1"/>
    <col min="9" max="9" width="10" bestFit="1" customWidth="1"/>
    <col min="10" max="10" width="11.140625" bestFit="1" customWidth="1"/>
  </cols>
  <sheetData>
    <row r="1" spans="1:11">
      <c r="A1" s="122" t="s">
        <v>147</v>
      </c>
      <c r="B1" s="122" t="s">
        <v>148</v>
      </c>
      <c r="C1" s="122" t="s">
        <v>149</v>
      </c>
      <c r="D1" s="122" t="s">
        <v>150</v>
      </c>
      <c r="E1" s="122" t="s">
        <v>151</v>
      </c>
      <c r="F1" s="11" t="s">
        <v>440</v>
      </c>
      <c r="G1" s="38" t="s">
        <v>259</v>
      </c>
      <c r="H1" s="88" t="s">
        <v>334</v>
      </c>
      <c r="I1" s="40" t="s">
        <v>260</v>
      </c>
      <c r="J1" s="119" t="s">
        <v>262</v>
      </c>
      <c r="K1" s="39" t="s">
        <v>261</v>
      </c>
    </row>
    <row r="2" spans="1:11">
      <c r="A2" s="124" t="s">
        <v>366</v>
      </c>
      <c r="B2" s="125" t="s">
        <v>152</v>
      </c>
      <c r="C2" s="124" t="s">
        <v>15</v>
      </c>
      <c r="D2" s="126">
        <v>0.32</v>
      </c>
      <c r="E2" s="134">
        <v>8.24</v>
      </c>
      <c r="F2" s="20"/>
      <c r="G2" s="13">
        <f>E20+E22+E25+E26+E28+E30+E31+E33+E34+E35+E36+E37+E38+E39+E40+E41+E42+E43+E44+E47+E51+E53+E56+E60+E61+E62+E85+E87</f>
        <v>9114.5600000000031</v>
      </c>
      <c r="H2" s="89">
        <v>0</v>
      </c>
      <c r="I2" s="66">
        <v>0</v>
      </c>
      <c r="J2" s="120">
        <f>E71+E74</f>
        <v>374.24</v>
      </c>
      <c r="K2" s="16">
        <f>E91</f>
        <v>166.95</v>
      </c>
    </row>
    <row r="3" spans="1:11">
      <c r="A3" s="124" t="s">
        <v>389</v>
      </c>
      <c r="B3" s="125" t="s">
        <v>152</v>
      </c>
      <c r="C3" s="124" t="s">
        <v>15</v>
      </c>
      <c r="D3" s="126">
        <v>0.72</v>
      </c>
      <c r="E3" s="134">
        <v>20.67</v>
      </c>
      <c r="F3" s="18"/>
      <c r="G3" s="18"/>
      <c r="H3" s="18"/>
      <c r="I3" s="18"/>
      <c r="J3" s="18"/>
      <c r="K3" s="18"/>
    </row>
    <row r="4" spans="1:11">
      <c r="A4" s="124" t="s">
        <v>18</v>
      </c>
      <c r="B4" s="124" t="s">
        <v>152</v>
      </c>
      <c r="C4" s="124" t="s">
        <v>15</v>
      </c>
      <c r="D4" s="126">
        <v>3.2</v>
      </c>
      <c r="E4" s="134">
        <v>89.09</v>
      </c>
      <c r="F4" s="31"/>
      <c r="G4" s="305" t="s">
        <v>263</v>
      </c>
      <c r="H4" s="305"/>
      <c r="I4" s="305"/>
      <c r="J4" s="305"/>
      <c r="K4" s="305"/>
    </row>
    <row r="5" spans="1:11">
      <c r="A5" s="124" t="s">
        <v>377</v>
      </c>
      <c r="B5" s="125" t="s">
        <v>152</v>
      </c>
      <c r="C5" s="124" t="s">
        <v>15</v>
      </c>
      <c r="D5" s="126">
        <v>0.8</v>
      </c>
      <c r="E5" s="134">
        <v>26.23</v>
      </c>
      <c r="G5" t="s">
        <v>461</v>
      </c>
    </row>
    <row r="6" spans="1:11" ht="15">
      <c r="A6" s="124" t="s">
        <v>397</v>
      </c>
      <c r="B6" s="125" t="s">
        <v>152</v>
      </c>
      <c r="C6" s="124" t="s">
        <v>15</v>
      </c>
      <c r="D6" s="126">
        <v>2.0699999999999998</v>
      </c>
      <c r="E6" s="134">
        <v>64.08</v>
      </c>
      <c r="G6" s="157" t="s">
        <v>454</v>
      </c>
    </row>
    <row r="7" spans="1:11" ht="15">
      <c r="A7" s="124" t="s">
        <v>426</v>
      </c>
      <c r="B7" s="125">
        <v>290020</v>
      </c>
      <c r="C7" s="124" t="s">
        <v>373</v>
      </c>
      <c r="D7" s="126">
        <v>0.68</v>
      </c>
      <c r="E7" s="134">
        <v>22.17</v>
      </c>
      <c r="G7" s="158" t="s">
        <v>455</v>
      </c>
    </row>
    <row r="8" spans="1:11">
      <c r="A8" s="127" t="s">
        <v>7</v>
      </c>
      <c r="B8" s="124"/>
      <c r="C8" s="124"/>
      <c r="D8" s="131">
        <f>SUM(D2:D7)</f>
        <v>7.7899999999999991</v>
      </c>
      <c r="E8" s="135">
        <f>SUM(E2:E7)</f>
        <v>230.48000000000002</v>
      </c>
    </row>
    <row r="9" spans="1:11">
      <c r="A9" s="127"/>
      <c r="B9" s="124"/>
      <c r="C9" s="124"/>
      <c r="D9" s="131"/>
      <c r="E9" s="135"/>
    </row>
    <row r="10" spans="1:11">
      <c r="A10" s="124" t="s">
        <v>398</v>
      </c>
      <c r="B10" s="125">
        <v>200035</v>
      </c>
      <c r="C10" s="124" t="s">
        <v>23</v>
      </c>
      <c r="D10" s="126">
        <v>0.52</v>
      </c>
      <c r="E10" s="134">
        <v>14.9</v>
      </c>
    </row>
    <row r="11" spans="1:11">
      <c r="A11" s="127" t="s">
        <v>7</v>
      </c>
      <c r="B11" s="124"/>
      <c r="C11" s="124"/>
      <c r="D11" s="131">
        <f>SUM(D10)</f>
        <v>0.52</v>
      </c>
      <c r="E11" s="135">
        <f>SUM(E10)</f>
        <v>14.9</v>
      </c>
    </row>
    <row r="12" spans="1:11">
      <c r="A12" s="127"/>
      <c r="B12" s="124"/>
      <c r="C12" s="124"/>
      <c r="D12" s="131"/>
      <c r="E12" s="135"/>
    </row>
    <row r="13" spans="1:11">
      <c r="A13" s="124" t="s">
        <v>20</v>
      </c>
      <c r="B13" s="125" t="s">
        <v>154</v>
      </c>
      <c r="C13" s="124" t="s">
        <v>23</v>
      </c>
      <c r="D13" s="126">
        <v>0.15</v>
      </c>
      <c r="E13" s="134">
        <v>4.42</v>
      </c>
    </row>
    <row r="14" spans="1:11">
      <c r="A14" s="127" t="s">
        <v>7</v>
      </c>
      <c r="B14" s="124"/>
      <c r="C14" s="124"/>
      <c r="D14" s="131">
        <v>0.15</v>
      </c>
      <c r="E14" s="135">
        <v>4.42</v>
      </c>
    </row>
    <row r="15" spans="1:11">
      <c r="A15" s="127"/>
      <c r="B15" s="125"/>
      <c r="C15" s="124"/>
      <c r="D15" s="131"/>
      <c r="E15" s="135"/>
    </row>
    <row r="16" spans="1:11">
      <c r="A16" s="124" t="s">
        <v>415</v>
      </c>
      <c r="B16" s="125" t="s">
        <v>155</v>
      </c>
      <c r="C16" s="124" t="s">
        <v>196</v>
      </c>
      <c r="D16" s="126">
        <v>0.02</v>
      </c>
      <c r="E16" s="134">
        <v>0.54</v>
      </c>
    </row>
    <row r="17" spans="1:6">
      <c r="A17" s="124" t="s">
        <v>462</v>
      </c>
      <c r="B17" s="125" t="s">
        <v>155</v>
      </c>
      <c r="C17" s="124" t="s">
        <v>196</v>
      </c>
      <c r="D17" s="126">
        <v>0.12</v>
      </c>
      <c r="E17" s="134">
        <v>3.62</v>
      </c>
    </row>
    <row r="18" spans="1:6">
      <c r="A18" s="127" t="s">
        <v>7</v>
      </c>
      <c r="B18" s="125"/>
      <c r="C18" s="124"/>
      <c r="D18" s="131">
        <f>SUM(D16:D17)</f>
        <v>0.13999999999999999</v>
      </c>
      <c r="E18" s="135">
        <f>SUM(E16:E17)</f>
        <v>4.16</v>
      </c>
    </row>
    <row r="19" spans="1:6">
      <c r="A19" s="127"/>
      <c r="B19" s="125"/>
      <c r="C19" s="124"/>
      <c r="D19" s="131"/>
      <c r="E19" s="135"/>
    </row>
    <row r="20" spans="1:6">
      <c r="A20" s="140" t="s">
        <v>335</v>
      </c>
      <c r="B20" s="141" t="s">
        <v>156</v>
      </c>
      <c r="C20" s="140" t="s">
        <v>91</v>
      </c>
      <c r="D20" s="142">
        <v>9.0500000000000007</v>
      </c>
      <c r="E20" s="143">
        <v>271.5</v>
      </c>
      <c r="F20" t="s">
        <v>310</v>
      </c>
    </row>
    <row r="21" spans="1:6">
      <c r="A21" s="124" t="s">
        <v>456</v>
      </c>
      <c r="B21" s="125" t="s">
        <v>156</v>
      </c>
      <c r="C21" s="124" t="s">
        <v>91</v>
      </c>
      <c r="D21" s="126">
        <v>0.05</v>
      </c>
      <c r="E21" s="134">
        <v>1.35</v>
      </c>
    </row>
    <row r="22" spans="1:6">
      <c r="A22" s="148" t="s">
        <v>417</v>
      </c>
      <c r="B22" s="149" t="s">
        <v>156</v>
      </c>
      <c r="C22" s="148" t="s">
        <v>91</v>
      </c>
      <c r="D22" s="142">
        <v>4.2699999999999996</v>
      </c>
      <c r="E22" s="143">
        <v>112</v>
      </c>
      <c r="F22" t="s">
        <v>310</v>
      </c>
    </row>
    <row r="23" spans="1:6">
      <c r="A23" s="127" t="s">
        <v>7</v>
      </c>
      <c r="B23" s="124"/>
      <c r="C23" s="124"/>
      <c r="D23" s="131">
        <f>SUM(D20:D22)</f>
        <v>13.370000000000001</v>
      </c>
      <c r="E23" s="135">
        <f>SUM(E20:E22)</f>
        <v>384.85</v>
      </c>
    </row>
    <row r="24" spans="1:6">
      <c r="A24" s="124"/>
      <c r="B24" s="124"/>
      <c r="C24" s="124"/>
      <c r="D24" s="126"/>
      <c r="E24" s="134"/>
    </row>
    <row r="25" spans="1:6">
      <c r="A25" s="140" t="s">
        <v>391</v>
      </c>
      <c r="B25" s="141" t="s">
        <v>157</v>
      </c>
      <c r="C25" s="140" t="s">
        <v>66</v>
      </c>
      <c r="D25" s="142">
        <v>14.73</v>
      </c>
      <c r="E25" s="143">
        <v>364.65</v>
      </c>
      <c r="F25" t="s">
        <v>310</v>
      </c>
    </row>
    <row r="26" spans="1:6">
      <c r="A26" s="140" t="s">
        <v>457</v>
      </c>
      <c r="B26" s="141" t="s">
        <v>157</v>
      </c>
      <c r="C26" s="140" t="s">
        <v>66</v>
      </c>
      <c r="D26" s="142">
        <v>9.25</v>
      </c>
      <c r="E26" s="143">
        <v>222</v>
      </c>
      <c r="F26" t="s">
        <v>310</v>
      </c>
    </row>
    <row r="27" spans="1:6">
      <c r="A27" s="124" t="s">
        <v>463</v>
      </c>
      <c r="B27" s="125" t="s">
        <v>157</v>
      </c>
      <c r="C27" s="124" t="s">
        <v>66</v>
      </c>
      <c r="D27" s="126">
        <v>0.38</v>
      </c>
      <c r="E27" s="134">
        <v>9.7799999999999994</v>
      </c>
    </row>
    <row r="28" spans="1:6">
      <c r="A28" s="140" t="s">
        <v>228</v>
      </c>
      <c r="B28" s="141" t="s">
        <v>157</v>
      </c>
      <c r="C28" s="140" t="s">
        <v>66</v>
      </c>
      <c r="D28" s="142">
        <v>21.42</v>
      </c>
      <c r="E28" s="143">
        <v>530.05999999999995</v>
      </c>
      <c r="F28" t="s">
        <v>310</v>
      </c>
    </row>
    <row r="29" spans="1:6">
      <c r="A29" s="124" t="s">
        <v>410</v>
      </c>
      <c r="B29" s="125" t="s">
        <v>157</v>
      </c>
      <c r="C29" s="124" t="s">
        <v>66</v>
      </c>
      <c r="D29" s="126">
        <v>2.12</v>
      </c>
      <c r="E29" s="134">
        <v>44.45</v>
      </c>
    </row>
    <row r="30" spans="1:6">
      <c r="A30" s="140" t="s">
        <v>75</v>
      </c>
      <c r="B30" s="141" t="s">
        <v>157</v>
      </c>
      <c r="C30" s="140" t="s">
        <v>66</v>
      </c>
      <c r="D30" s="142">
        <v>6.52</v>
      </c>
      <c r="E30" s="143">
        <v>161.29</v>
      </c>
      <c r="F30" t="s">
        <v>310</v>
      </c>
    </row>
    <row r="31" spans="1:6">
      <c r="A31" s="140" t="s">
        <v>210</v>
      </c>
      <c r="B31" s="141" t="s">
        <v>157</v>
      </c>
      <c r="C31" s="140" t="s">
        <v>66</v>
      </c>
      <c r="D31" s="142">
        <v>8.9499999999999993</v>
      </c>
      <c r="E31" s="143">
        <v>221.51</v>
      </c>
      <c r="F31" t="s">
        <v>310</v>
      </c>
    </row>
    <row r="32" spans="1:6">
      <c r="A32" s="124" t="s">
        <v>267</v>
      </c>
      <c r="B32" s="125" t="s">
        <v>157</v>
      </c>
      <c r="C32" s="124" t="s">
        <v>66</v>
      </c>
      <c r="D32" s="126">
        <v>1.3</v>
      </c>
      <c r="E32" s="134">
        <v>32.18</v>
      </c>
    </row>
    <row r="33" spans="1:6">
      <c r="A33" s="140" t="s">
        <v>86</v>
      </c>
      <c r="B33" s="141" t="s">
        <v>157</v>
      </c>
      <c r="C33" s="140" t="s">
        <v>66</v>
      </c>
      <c r="D33" s="142">
        <v>9.43</v>
      </c>
      <c r="E33" s="143">
        <v>240.55</v>
      </c>
      <c r="F33" t="s">
        <v>310</v>
      </c>
    </row>
    <row r="34" spans="1:6">
      <c r="A34" s="140" t="s">
        <v>464</v>
      </c>
      <c r="B34" s="141" t="s">
        <v>157</v>
      </c>
      <c r="C34" s="140" t="s">
        <v>66</v>
      </c>
      <c r="D34" s="142">
        <v>12.95</v>
      </c>
      <c r="E34" s="143">
        <v>310.8</v>
      </c>
      <c r="F34" t="s">
        <v>310</v>
      </c>
    </row>
    <row r="35" spans="1:6">
      <c r="A35" s="148" t="s">
        <v>292</v>
      </c>
      <c r="B35" s="149" t="s">
        <v>157</v>
      </c>
      <c r="C35" s="148" t="s">
        <v>66</v>
      </c>
      <c r="D35" s="150">
        <v>27.93</v>
      </c>
      <c r="E35" s="143">
        <v>691.35</v>
      </c>
      <c r="F35" t="s">
        <v>310</v>
      </c>
    </row>
    <row r="36" spans="1:6">
      <c r="A36" s="148" t="s">
        <v>429</v>
      </c>
      <c r="B36" s="149" t="s">
        <v>157</v>
      </c>
      <c r="C36" s="148" t="s">
        <v>66</v>
      </c>
      <c r="D36" s="150">
        <v>9.32</v>
      </c>
      <c r="E36" s="143">
        <v>237.58</v>
      </c>
      <c r="F36" t="s">
        <v>310</v>
      </c>
    </row>
    <row r="37" spans="1:6">
      <c r="A37" s="148" t="s">
        <v>159</v>
      </c>
      <c r="B37" s="149" t="s">
        <v>157</v>
      </c>
      <c r="C37" s="148" t="s">
        <v>66</v>
      </c>
      <c r="D37" s="150">
        <v>16.95</v>
      </c>
      <c r="E37" s="143">
        <v>419.51</v>
      </c>
      <c r="F37" t="s">
        <v>310</v>
      </c>
    </row>
    <row r="38" spans="1:6">
      <c r="A38" s="148" t="s">
        <v>88</v>
      </c>
      <c r="B38" s="149" t="s">
        <v>157</v>
      </c>
      <c r="C38" s="148" t="s">
        <v>66</v>
      </c>
      <c r="D38" s="150">
        <v>16.3</v>
      </c>
      <c r="E38" s="143">
        <v>403.43</v>
      </c>
      <c r="F38" t="s">
        <v>310</v>
      </c>
    </row>
    <row r="39" spans="1:6">
      <c r="A39" s="148" t="s">
        <v>328</v>
      </c>
      <c r="B39" s="149" t="s">
        <v>157</v>
      </c>
      <c r="C39" s="148" t="s">
        <v>66</v>
      </c>
      <c r="D39" s="150">
        <v>23.07</v>
      </c>
      <c r="E39" s="143">
        <v>605.5</v>
      </c>
      <c r="F39" t="s">
        <v>310</v>
      </c>
    </row>
    <row r="40" spans="1:6">
      <c r="A40" s="148" t="s">
        <v>458</v>
      </c>
      <c r="B40" s="149" t="s">
        <v>157</v>
      </c>
      <c r="C40" s="148" t="s">
        <v>66</v>
      </c>
      <c r="D40" s="150">
        <v>17.13</v>
      </c>
      <c r="E40" s="143">
        <v>436.9</v>
      </c>
      <c r="F40" t="s">
        <v>310</v>
      </c>
    </row>
    <row r="41" spans="1:6">
      <c r="A41" s="140" t="s">
        <v>422</v>
      </c>
      <c r="B41" s="141" t="s">
        <v>157</v>
      </c>
      <c r="C41" s="140" t="s">
        <v>66</v>
      </c>
      <c r="D41" s="142">
        <v>19.02</v>
      </c>
      <c r="E41" s="143">
        <v>556.24</v>
      </c>
      <c r="F41" t="s">
        <v>310</v>
      </c>
    </row>
    <row r="42" spans="1:6">
      <c r="A42" s="148" t="s">
        <v>79</v>
      </c>
      <c r="B42" s="149" t="s">
        <v>157</v>
      </c>
      <c r="C42" s="148" t="s">
        <v>66</v>
      </c>
      <c r="D42" s="148">
        <v>6.95</v>
      </c>
      <c r="E42" s="143">
        <v>166.8</v>
      </c>
      <c r="F42" t="s">
        <v>310</v>
      </c>
    </row>
    <row r="43" spans="1:6">
      <c r="A43" s="148" t="s">
        <v>451</v>
      </c>
      <c r="B43" s="149" t="s">
        <v>157</v>
      </c>
      <c r="C43" s="148" t="s">
        <v>66</v>
      </c>
      <c r="D43" s="148">
        <v>4.4000000000000004</v>
      </c>
      <c r="E43" s="143">
        <v>105.6</v>
      </c>
      <c r="F43" t="s">
        <v>310</v>
      </c>
    </row>
    <row r="44" spans="1:6">
      <c r="A44" s="148" t="s">
        <v>375</v>
      </c>
      <c r="B44" s="149" t="s">
        <v>157</v>
      </c>
      <c r="C44" s="148" t="s">
        <v>66</v>
      </c>
      <c r="D44" s="148">
        <v>15.93</v>
      </c>
      <c r="E44" s="143">
        <v>394.35</v>
      </c>
      <c r="F44" t="s">
        <v>310</v>
      </c>
    </row>
    <row r="45" spans="1:6">
      <c r="A45" s="127" t="s">
        <v>7</v>
      </c>
      <c r="B45" s="124"/>
      <c r="C45" s="124"/>
      <c r="D45" s="131">
        <f>SUM(D25:D44)</f>
        <v>244.04999999999998</v>
      </c>
      <c r="E45" s="135">
        <f>SUM(E25:E44)</f>
        <v>6154.53</v>
      </c>
    </row>
    <row r="46" spans="1:6">
      <c r="A46" s="127"/>
      <c r="B46" s="124"/>
      <c r="C46" s="124"/>
      <c r="D46" s="131"/>
      <c r="E46" s="135"/>
    </row>
    <row r="47" spans="1:6">
      <c r="A47" s="140" t="s">
        <v>163</v>
      </c>
      <c r="B47" s="141" t="s">
        <v>162</v>
      </c>
      <c r="C47" s="140" t="s">
        <v>51</v>
      </c>
      <c r="D47" s="142">
        <v>39.17</v>
      </c>
      <c r="E47" s="143">
        <v>1204.3800000000001</v>
      </c>
      <c r="F47" t="s">
        <v>310</v>
      </c>
    </row>
    <row r="48" spans="1:6">
      <c r="A48" s="124" t="s">
        <v>50</v>
      </c>
      <c r="B48" s="125" t="s">
        <v>162</v>
      </c>
      <c r="C48" s="124" t="s">
        <v>51</v>
      </c>
      <c r="D48" s="126">
        <v>0.93</v>
      </c>
      <c r="E48" s="134">
        <v>18.2</v>
      </c>
    </row>
    <row r="49" spans="1:6">
      <c r="A49" s="127" t="s">
        <v>7</v>
      </c>
      <c r="B49" s="125"/>
      <c r="C49" s="124"/>
      <c r="D49" s="131">
        <f>SUM(D47:D48)</f>
        <v>40.1</v>
      </c>
      <c r="E49" s="135">
        <f>SUM(E47:E48)</f>
        <v>1222.5800000000002</v>
      </c>
    </row>
    <row r="50" spans="1:6">
      <c r="A50" s="127"/>
      <c r="B50" s="124"/>
      <c r="C50" s="124"/>
      <c r="D50" s="131"/>
      <c r="E50" s="135"/>
    </row>
    <row r="51" spans="1:6">
      <c r="A51" s="140" t="s">
        <v>203</v>
      </c>
      <c r="B51" s="141" t="s">
        <v>164</v>
      </c>
      <c r="C51" s="140" t="s">
        <v>60</v>
      </c>
      <c r="D51" s="142">
        <v>6.43</v>
      </c>
      <c r="E51" s="143">
        <v>135.1</v>
      </c>
      <c r="F51" t="s">
        <v>310</v>
      </c>
    </row>
    <row r="52" spans="1:6">
      <c r="A52" s="124" t="s">
        <v>411</v>
      </c>
      <c r="B52" s="125" t="s">
        <v>164</v>
      </c>
      <c r="C52" s="124" t="s">
        <v>60</v>
      </c>
      <c r="D52" s="126">
        <v>3.9</v>
      </c>
      <c r="E52" s="134">
        <v>125.78</v>
      </c>
    </row>
    <row r="53" spans="1:6">
      <c r="A53" s="140" t="s">
        <v>64</v>
      </c>
      <c r="B53" s="141" t="s">
        <v>164</v>
      </c>
      <c r="C53" s="140" t="s">
        <v>60</v>
      </c>
      <c r="D53" s="142">
        <v>12.47</v>
      </c>
      <c r="E53" s="143">
        <v>261.8</v>
      </c>
      <c r="F53" t="s">
        <v>310</v>
      </c>
    </row>
    <row r="54" spans="1:6">
      <c r="A54" s="127" t="s">
        <v>7</v>
      </c>
      <c r="B54" s="124"/>
      <c r="C54" s="124"/>
      <c r="D54" s="131">
        <f>SUM(D51:D53)</f>
        <v>22.8</v>
      </c>
      <c r="E54" s="135">
        <f>SUM(E51:E53)</f>
        <v>522.68000000000006</v>
      </c>
    </row>
    <row r="55" spans="1:6">
      <c r="A55" s="127"/>
      <c r="B55" s="124"/>
      <c r="C55" s="124"/>
      <c r="D55" s="131"/>
      <c r="E55" s="135"/>
    </row>
    <row r="56" spans="1:6">
      <c r="A56" s="140" t="s">
        <v>372</v>
      </c>
      <c r="B56" s="141" t="s">
        <v>165</v>
      </c>
      <c r="C56" s="140" t="s">
        <v>465</v>
      </c>
      <c r="D56" s="142">
        <v>6.18</v>
      </c>
      <c r="E56" s="143">
        <v>143.76</v>
      </c>
      <c r="F56" t="s">
        <v>310</v>
      </c>
    </row>
    <row r="57" spans="1:6">
      <c r="A57" s="124" t="s">
        <v>412</v>
      </c>
      <c r="B57" s="125" t="s">
        <v>165</v>
      </c>
      <c r="C57" s="124" t="s">
        <v>465</v>
      </c>
      <c r="D57" s="126">
        <v>2.25</v>
      </c>
      <c r="E57" s="134">
        <v>52.31</v>
      </c>
    </row>
    <row r="58" spans="1:6">
      <c r="A58" s="127" t="s">
        <v>7</v>
      </c>
      <c r="B58" s="125"/>
      <c r="C58" s="124"/>
      <c r="D58" s="131">
        <f>SUM(D56:D57)</f>
        <v>8.43</v>
      </c>
      <c r="E58" s="135">
        <f>SUM(E56:E57)</f>
        <v>196.07</v>
      </c>
    </row>
    <row r="59" spans="1:6">
      <c r="A59" s="127"/>
      <c r="B59" s="124"/>
      <c r="C59" s="124"/>
      <c r="D59" s="131"/>
      <c r="E59" s="135"/>
    </row>
    <row r="60" spans="1:6">
      <c r="A60" s="140" t="s">
        <v>166</v>
      </c>
      <c r="B60" s="141" t="s">
        <v>167</v>
      </c>
      <c r="C60" s="140" t="s">
        <v>54</v>
      </c>
      <c r="D60" s="142">
        <v>4.6500000000000004</v>
      </c>
      <c r="E60" s="143">
        <v>118.58</v>
      </c>
      <c r="F60" t="s">
        <v>310</v>
      </c>
    </row>
    <row r="61" spans="1:6">
      <c r="A61" s="140" t="s">
        <v>445</v>
      </c>
      <c r="B61" s="141" t="s">
        <v>167</v>
      </c>
      <c r="C61" s="140" t="s">
        <v>54</v>
      </c>
      <c r="D61" s="142">
        <v>4.05</v>
      </c>
      <c r="E61" s="143">
        <v>103.28</v>
      </c>
      <c r="F61" t="s">
        <v>310</v>
      </c>
    </row>
    <row r="62" spans="1:6">
      <c r="A62" s="140" t="s">
        <v>345</v>
      </c>
      <c r="B62" s="141" t="s">
        <v>167</v>
      </c>
      <c r="C62" s="140" t="s">
        <v>54</v>
      </c>
      <c r="D62" s="142">
        <v>4.9800000000000004</v>
      </c>
      <c r="E62" s="143">
        <v>130.81</v>
      </c>
      <c r="F62" t="s">
        <v>310</v>
      </c>
    </row>
    <row r="63" spans="1:6">
      <c r="A63" s="124" t="s">
        <v>421</v>
      </c>
      <c r="B63" s="125" t="s">
        <v>167</v>
      </c>
      <c r="C63" s="124" t="s">
        <v>54</v>
      </c>
      <c r="D63" s="126">
        <v>2.0299999999999998</v>
      </c>
      <c r="E63" s="134">
        <v>54.9</v>
      </c>
    </row>
    <row r="64" spans="1:6">
      <c r="A64" s="124" t="s">
        <v>393</v>
      </c>
      <c r="B64" s="125" t="s">
        <v>167</v>
      </c>
      <c r="C64" s="124" t="s">
        <v>54</v>
      </c>
      <c r="D64" s="126">
        <v>0.18</v>
      </c>
      <c r="E64" s="134">
        <v>3.85</v>
      </c>
    </row>
    <row r="65" spans="1:6">
      <c r="A65" s="127" t="s">
        <v>7</v>
      </c>
      <c r="B65" s="125"/>
      <c r="C65" s="124"/>
      <c r="D65" s="131">
        <f>SUM(D60:D64)</f>
        <v>15.889999999999999</v>
      </c>
      <c r="E65" s="135">
        <f>SUM(E60:E64)</f>
        <v>411.42</v>
      </c>
    </row>
    <row r="66" spans="1:6">
      <c r="A66" s="127"/>
      <c r="B66" s="125"/>
      <c r="C66" s="124"/>
      <c r="D66" s="131"/>
      <c r="E66" s="135"/>
    </row>
    <row r="67" spans="1:6">
      <c r="A67" s="124" t="s">
        <v>423</v>
      </c>
      <c r="B67" s="125" t="s">
        <v>240</v>
      </c>
      <c r="C67" s="124" t="s">
        <v>241</v>
      </c>
      <c r="D67" s="126">
        <v>0.1</v>
      </c>
      <c r="E67" s="134">
        <v>3.24</v>
      </c>
    </row>
    <row r="68" spans="1:6">
      <c r="A68" s="127" t="s">
        <v>7</v>
      </c>
      <c r="B68" s="125"/>
      <c r="C68" s="124"/>
      <c r="D68" s="131">
        <f>SUM(D67)</f>
        <v>0.1</v>
      </c>
      <c r="E68" s="135">
        <f>SUM(E67)</f>
        <v>3.24</v>
      </c>
    </row>
    <row r="69" spans="1:6">
      <c r="A69" s="127"/>
      <c r="B69" s="125"/>
      <c r="C69" s="124"/>
      <c r="D69" s="131"/>
      <c r="E69" s="135"/>
    </row>
    <row r="70" spans="1:6">
      <c r="A70" s="124" t="s">
        <v>459</v>
      </c>
      <c r="B70" s="125" t="s">
        <v>171</v>
      </c>
      <c r="C70" s="124" t="s">
        <v>25</v>
      </c>
      <c r="D70" s="126">
        <v>1.03</v>
      </c>
      <c r="E70" s="134">
        <v>27.9</v>
      </c>
    </row>
    <row r="71" spans="1:6">
      <c r="A71" s="159" t="s">
        <v>424</v>
      </c>
      <c r="B71" s="159" t="s">
        <v>171</v>
      </c>
      <c r="C71" s="159" t="s">
        <v>25</v>
      </c>
      <c r="D71" s="161">
        <v>6.05</v>
      </c>
      <c r="E71" s="160">
        <v>213.26</v>
      </c>
      <c r="F71" t="s">
        <v>310</v>
      </c>
    </row>
    <row r="72" spans="1:6">
      <c r="A72" s="124" t="s">
        <v>286</v>
      </c>
      <c r="B72" s="125" t="s">
        <v>171</v>
      </c>
      <c r="C72" s="124" t="s">
        <v>25</v>
      </c>
      <c r="D72" s="126">
        <v>0.42</v>
      </c>
      <c r="E72" s="134">
        <v>12.5</v>
      </c>
    </row>
    <row r="73" spans="1:6">
      <c r="A73" s="124" t="s">
        <v>436</v>
      </c>
      <c r="B73" s="125" t="s">
        <v>171</v>
      </c>
      <c r="C73" s="124" t="s">
        <v>25</v>
      </c>
      <c r="D73" s="126">
        <v>0.13</v>
      </c>
      <c r="E73" s="134">
        <v>4</v>
      </c>
    </row>
    <row r="74" spans="1:6">
      <c r="A74" s="159" t="s">
        <v>368</v>
      </c>
      <c r="B74" s="159" t="s">
        <v>171</v>
      </c>
      <c r="C74" s="159" t="s">
        <v>25</v>
      </c>
      <c r="D74" s="161">
        <v>4.57</v>
      </c>
      <c r="E74" s="160">
        <v>160.97999999999999</v>
      </c>
      <c r="F74" t="s">
        <v>310</v>
      </c>
    </row>
    <row r="75" spans="1:6">
      <c r="A75" s="127" t="s">
        <v>7</v>
      </c>
      <c r="B75" s="124"/>
      <c r="C75" s="124"/>
      <c r="D75" s="131">
        <f>SUM(D70:D74)</f>
        <v>12.2</v>
      </c>
      <c r="E75" s="135">
        <f>SUM(E70:E74)</f>
        <v>418.64</v>
      </c>
    </row>
    <row r="76" spans="1:6">
      <c r="A76" s="127"/>
      <c r="B76" s="124"/>
      <c r="C76" s="124"/>
      <c r="D76" s="131"/>
      <c r="E76" s="135"/>
    </row>
    <row r="77" spans="1:6">
      <c r="A77" s="124" t="s">
        <v>394</v>
      </c>
      <c r="B77" s="125" t="s">
        <v>172</v>
      </c>
      <c r="C77" s="124" t="s">
        <v>348</v>
      </c>
      <c r="D77" s="126">
        <v>0.48</v>
      </c>
      <c r="E77" s="134">
        <v>16.91</v>
      </c>
    </row>
    <row r="78" spans="1:6">
      <c r="A78" s="124" t="s">
        <v>413</v>
      </c>
      <c r="B78" s="125" t="s">
        <v>172</v>
      </c>
      <c r="C78" s="124" t="s">
        <v>348</v>
      </c>
      <c r="D78" s="126">
        <v>0.95</v>
      </c>
      <c r="E78" s="134">
        <v>32.549999999999997</v>
      </c>
    </row>
    <row r="79" spans="1:6">
      <c r="A79" s="127" t="s">
        <v>7</v>
      </c>
      <c r="B79" s="124"/>
      <c r="C79" s="124"/>
      <c r="D79" s="131">
        <f>SUM(D77:D78)</f>
        <v>1.43</v>
      </c>
      <c r="E79" s="135">
        <f>SUM(E77:E78)</f>
        <v>49.459999999999994</v>
      </c>
    </row>
    <row r="80" spans="1:6">
      <c r="A80" s="124"/>
      <c r="B80" s="124"/>
      <c r="C80" s="124"/>
      <c r="D80" s="126"/>
      <c r="E80" s="134"/>
    </row>
    <row r="81" spans="1:6">
      <c r="A81" s="124" t="s">
        <v>307</v>
      </c>
      <c r="B81" s="124">
        <v>100035</v>
      </c>
      <c r="C81" s="124" t="s">
        <v>332</v>
      </c>
      <c r="D81" s="126">
        <v>1.08</v>
      </c>
      <c r="E81" s="134">
        <v>40.74</v>
      </c>
    </row>
    <row r="82" spans="1:6">
      <c r="A82" s="124" t="s">
        <v>331</v>
      </c>
      <c r="B82" s="124">
        <v>100035</v>
      </c>
      <c r="C82" s="124" t="s">
        <v>332</v>
      </c>
      <c r="D82" s="126">
        <v>0.82</v>
      </c>
      <c r="E82" s="134">
        <v>26.17</v>
      </c>
    </row>
    <row r="83" spans="1:6">
      <c r="A83" s="127" t="s">
        <v>7</v>
      </c>
      <c r="B83" s="124"/>
      <c r="C83" s="124"/>
      <c r="D83" s="131">
        <f>SUM(D81:D82)</f>
        <v>1.9</v>
      </c>
      <c r="E83" s="135">
        <f>SUM(E81:E82)</f>
        <v>66.91</v>
      </c>
    </row>
    <row r="84" spans="1:6">
      <c r="A84" s="127"/>
      <c r="B84" s="124"/>
      <c r="C84" s="124"/>
      <c r="D84" s="126"/>
      <c r="E84" s="134"/>
    </row>
    <row r="85" spans="1:6">
      <c r="A85" s="140" t="s">
        <v>466</v>
      </c>
      <c r="B85" s="140">
        <v>100051</v>
      </c>
      <c r="C85" s="140" t="s">
        <v>34</v>
      </c>
      <c r="D85" s="142">
        <v>13.88</v>
      </c>
      <c r="E85" s="143">
        <v>354.03</v>
      </c>
      <c r="F85" t="s">
        <v>310</v>
      </c>
    </row>
    <row r="86" spans="1:6">
      <c r="A86" s="124" t="s">
        <v>395</v>
      </c>
      <c r="B86" s="124">
        <v>100051</v>
      </c>
      <c r="C86" s="124" t="s">
        <v>34</v>
      </c>
      <c r="D86" s="126">
        <v>1.52</v>
      </c>
      <c r="E86" s="134">
        <v>30.71</v>
      </c>
    </row>
    <row r="87" spans="1:6">
      <c r="A87" s="140" t="s">
        <v>37</v>
      </c>
      <c r="B87" s="140">
        <v>100051</v>
      </c>
      <c r="C87" s="140" t="s">
        <v>34</v>
      </c>
      <c r="D87" s="142">
        <v>8.5299999999999994</v>
      </c>
      <c r="E87" s="143">
        <v>211.2</v>
      </c>
      <c r="F87" t="s">
        <v>310</v>
      </c>
    </row>
    <row r="88" spans="1:6">
      <c r="A88" s="124" t="s">
        <v>39</v>
      </c>
      <c r="B88" s="124">
        <v>100051</v>
      </c>
      <c r="C88" s="124" t="s">
        <v>34</v>
      </c>
      <c r="D88" s="126">
        <v>7.0000000000000007E-2</v>
      </c>
      <c r="E88" s="134">
        <v>1.6</v>
      </c>
    </row>
    <row r="89" spans="1:6">
      <c r="A89" s="127" t="s">
        <v>7</v>
      </c>
      <c r="B89" s="124"/>
      <c r="C89" s="124"/>
      <c r="D89" s="131">
        <f>SUM(D85:D88)</f>
        <v>24</v>
      </c>
      <c r="E89" s="135">
        <f>SUM(E85:E88)</f>
        <v>597.54</v>
      </c>
    </row>
    <row r="90" spans="1:6">
      <c r="A90" s="127"/>
      <c r="B90" s="124"/>
      <c r="C90" s="124"/>
      <c r="D90" s="131"/>
      <c r="E90" s="135"/>
    </row>
    <row r="91" spans="1:6">
      <c r="A91" s="151" t="s">
        <v>282</v>
      </c>
      <c r="B91" s="151">
        <v>450044</v>
      </c>
      <c r="C91" s="151" t="s">
        <v>134</v>
      </c>
      <c r="D91" s="152">
        <f>3.47+2.72</f>
        <v>6.19</v>
      </c>
      <c r="E91" s="153">
        <f>73.35+93.6</f>
        <v>166.95</v>
      </c>
      <c r="F91" t="s">
        <v>310</v>
      </c>
    </row>
    <row r="92" spans="1:6">
      <c r="A92" s="124" t="s">
        <v>369</v>
      </c>
      <c r="B92" s="124">
        <v>450044</v>
      </c>
      <c r="C92" s="124" t="s">
        <v>134</v>
      </c>
      <c r="D92" s="126">
        <v>2.75</v>
      </c>
      <c r="E92" s="134">
        <v>59.61</v>
      </c>
    </row>
    <row r="93" spans="1:6">
      <c r="A93" s="127" t="s">
        <v>7</v>
      </c>
      <c r="B93" s="124"/>
      <c r="C93" s="124"/>
      <c r="D93" s="131">
        <f>SUM(D91:D92)</f>
        <v>8.9400000000000013</v>
      </c>
      <c r="E93" s="135">
        <f>SUM(E91:E92)</f>
        <v>226.56</v>
      </c>
    </row>
    <row r="94" spans="1:6">
      <c r="A94" s="127"/>
      <c r="B94" s="124"/>
      <c r="C94" s="124"/>
      <c r="D94" s="131"/>
      <c r="E94" s="135"/>
    </row>
    <row r="95" spans="1:6">
      <c r="A95" s="124" t="s">
        <v>467</v>
      </c>
      <c r="B95" s="124">
        <v>450045</v>
      </c>
      <c r="C95" s="124" t="s">
        <v>131</v>
      </c>
      <c r="D95" s="126">
        <v>0.13</v>
      </c>
      <c r="E95" s="134">
        <v>3</v>
      </c>
    </row>
    <row r="96" spans="1:6">
      <c r="A96" s="127" t="s">
        <v>7</v>
      </c>
      <c r="B96" s="124"/>
      <c r="C96" s="124"/>
      <c r="D96" s="131">
        <v>0.13</v>
      </c>
      <c r="E96" s="135">
        <v>3</v>
      </c>
    </row>
    <row r="97" spans="1:5">
      <c r="A97" s="127"/>
      <c r="B97" s="124"/>
      <c r="C97" s="124"/>
      <c r="D97" s="131"/>
      <c r="E97" s="135"/>
    </row>
    <row r="98" spans="1:5">
      <c r="A98" s="124" t="s">
        <v>244</v>
      </c>
      <c r="B98" s="124">
        <v>400020</v>
      </c>
      <c r="C98" s="124" t="s">
        <v>98</v>
      </c>
      <c r="D98" s="126">
        <v>0.4</v>
      </c>
      <c r="E98" s="134">
        <v>9.6999999999999993</v>
      </c>
    </row>
    <row r="99" spans="1:5">
      <c r="A99" s="124" t="s">
        <v>434</v>
      </c>
      <c r="B99" s="124">
        <v>400020</v>
      </c>
      <c r="C99" s="124" t="s">
        <v>98</v>
      </c>
      <c r="D99" s="126">
        <v>0.25</v>
      </c>
      <c r="E99" s="134">
        <v>7.8</v>
      </c>
    </row>
    <row r="100" spans="1:5">
      <c r="A100" s="127" t="s">
        <v>7</v>
      </c>
      <c r="B100" s="124"/>
      <c r="C100" s="124"/>
      <c r="D100" s="131">
        <f>SUM(D98:D99)</f>
        <v>0.65</v>
      </c>
      <c r="E100" s="135">
        <f>SUM(E98:E99)</f>
        <v>17.5</v>
      </c>
    </row>
    <row r="101" spans="1:5">
      <c r="A101" s="127"/>
      <c r="B101" s="124"/>
      <c r="C101" s="124"/>
      <c r="D101" s="131"/>
      <c r="E101" s="135"/>
    </row>
    <row r="102" spans="1:5">
      <c r="A102" s="124" t="s">
        <v>41</v>
      </c>
      <c r="B102" s="124">
        <v>550052</v>
      </c>
      <c r="C102" s="124" t="s">
        <v>284</v>
      </c>
      <c r="D102" s="126">
        <v>3.55</v>
      </c>
      <c r="E102" s="134">
        <v>93.19</v>
      </c>
    </row>
    <row r="103" spans="1:5">
      <c r="A103" s="127" t="s">
        <v>7</v>
      </c>
      <c r="B103" s="124"/>
      <c r="C103" s="124"/>
      <c r="D103" s="131">
        <f>SUM(D102)</f>
        <v>3.55</v>
      </c>
      <c r="E103" s="135">
        <f>SUM(E102)</f>
        <v>93.19</v>
      </c>
    </row>
    <row r="104" spans="1:5">
      <c r="A104" s="127"/>
      <c r="B104" s="124"/>
      <c r="C104" s="124"/>
      <c r="D104" s="131"/>
      <c r="E104" s="135"/>
    </row>
    <row r="105" spans="1:5">
      <c r="A105" s="122" t="s">
        <v>194</v>
      </c>
      <c r="B105" s="123"/>
      <c r="C105" s="123"/>
      <c r="D105" s="131">
        <f>D103+D100+D96+D93+D89+D83+D79+D75+D68+D65+D58+D54+D49+D45+D23+D18+D14+D11+D8</f>
        <v>406.13999999999993</v>
      </c>
      <c r="E105" s="131">
        <f>E103+E100+E96+E93+E89+E83+E79+E75+E68+E65+E58+E54+E49+E45+E23+E18+E14+E11+E8</f>
        <v>10622.13</v>
      </c>
    </row>
  </sheetData>
  <mergeCells count="1">
    <mergeCell ref="G4:K4"/>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104"/>
  <sheetViews>
    <sheetView topLeftCell="A57" workbookViewId="0">
      <selection activeCell="G1" sqref="G1:K7"/>
    </sheetView>
  </sheetViews>
  <sheetFormatPr defaultRowHeight="12.75"/>
  <cols>
    <col min="1" max="1" width="19.42578125" bestFit="1" customWidth="1"/>
    <col min="2" max="2" width="23.140625" bestFit="1" customWidth="1"/>
    <col min="3" max="3" width="33.85546875" bestFit="1" customWidth="1"/>
    <col min="4" max="4" width="20.42578125" bestFit="1" customWidth="1"/>
    <col min="5" max="5" width="23.28515625" style="155" bestFit="1" customWidth="1"/>
    <col min="7" max="7" width="11.28515625" customWidth="1"/>
    <col min="8" max="8" width="17.28515625" bestFit="1" customWidth="1"/>
    <col min="9" max="9" width="15.140625" customWidth="1"/>
    <col min="10" max="10" width="11.140625" bestFit="1" customWidth="1"/>
    <col min="11" max="11" width="13.28515625" customWidth="1"/>
  </cols>
  <sheetData>
    <row r="1" spans="1:11">
      <c r="A1" s="122" t="s">
        <v>147</v>
      </c>
      <c r="B1" s="122" t="s">
        <v>148</v>
      </c>
      <c r="C1" s="122" t="s">
        <v>149</v>
      </c>
      <c r="D1" s="122" t="s">
        <v>150</v>
      </c>
      <c r="E1" s="154" t="s">
        <v>151</v>
      </c>
      <c r="G1" s="38" t="s">
        <v>259</v>
      </c>
      <c r="H1" s="88" t="s">
        <v>334</v>
      </c>
      <c r="I1" s="40" t="s">
        <v>260</v>
      </c>
      <c r="J1" s="119" t="s">
        <v>262</v>
      </c>
      <c r="K1" s="39" t="s">
        <v>261</v>
      </c>
    </row>
    <row r="2" spans="1:11">
      <c r="A2" s="124" t="s">
        <v>366</v>
      </c>
      <c r="B2" s="125" t="s">
        <v>152</v>
      </c>
      <c r="C2" s="124" t="s">
        <v>15</v>
      </c>
      <c r="D2" s="126">
        <v>1.1499999999999999</v>
      </c>
      <c r="E2" s="134">
        <v>30.81</v>
      </c>
      <c r="G2" s="13">
        <f>E31+E32+E34+E40++E41+E42+E43+E44+E45+E47+E46+E48+E50+E54+E57+E58+E59+E62+E67+E81+E85+E86+E87+E88+E98</f>
        <v>7211.48</v>
      </c>
      <c r="H2" s="89">
        <v>0</v>
      </c>
      <c r="I2" s="66">
        <f>E15</f>
        <v>222.9</v>
      </c>
      <c r="J2" s="166">
        <f>E72</f>
        <v>169.64</v>
      </c>
      <c r="K2" s="16">
        <f>E91</f>
        <v>148.36000000000001</v>
      </c>
    </row>
    <row r="3" spans="1:11">
      <c r="A3" s="124" t="s">
        <v>468</v>
      </c>
      <c r="B3" s="125" t="s">
        <v>152</v>
      </c>
      <c r="C3" s="124" t="s">
        <v>15</v>
      </c>
      <c r="D3" s="126">
        <v>0.2</v>
      </c>
      <c r="E3" s="134">
        <v>6.15</v>
      </c>
      <c r="G3" s="18"/>
      <c r="H3" s="18"/>
      <c r="I3" s="18"/>
      <c r="J3" s="18"/>
      <c r="K3" s="18"/>
    </row>
    <row r="4" spans="1:11">
      <c r="A4" s="124" t="s">
        <v>389</v>
      </c>
      <c r="B4" s="125" t="s">
        <v>152</v>
      </c>
      <c r="C4" s="124" t="s">
        <v>15</v>
      </c>
      <c r="D4" s="126">
        <v>0.03</v>
      </c>
      <c r="E4" s="134">
        <v>0.99</v>
      </c>
      <c r="G4" s="305" t="s">
        <v>263</v>
      </c>
      <c r="H4" s="305"/>
      <c r="I4" s="305"/>
      <c r="J4" s="305"/>
      <c r="K4" s="305"/>
    </row>
    <row r="5" spans="1:11">
      <c r="A5" s="124" t="s">
        <v>18</v>
      </c>
      <c r="B5" s="124" t="s">
        <v>152</v>
      </c>
      <c r="C5" s="124" t="s">
        <v>15</v>
      </c>
      <c r="D5" s="126">
        <v>1.2</v>
      </c>
      <c r="E5" s="134">
        <v>34.07</v>
      </c>
      <c r="G5" t="s">
        <v>461</v>
      </c>
    </row>
    <row r="6" spans="1:11" ht="15">
      <c r="A6" s="124" t="s">
        <v>377</v>
      </c>
      <c r="B6" s="125" t="s">
        <v>152</v>
      </c>
      <c r="C6" s="124" t="s">
        <v>15</v>
      </c>
      <c r="D6" s="126">
        <v>1.32</v>
      </c>
      <c r="E6" s="134">
        <v>44.04</v>
      </c>
      <c r="G6" s="157" t="s">
        <v>454</v>
      </c>
    </row>
    <row r="7" spans="1:11" ht="15">
      <c r="A7" s="124" t="s">
        <v>469</v>
      </c>
      <c r="B7" s="125" t="s">
        <v>152</v>
      </c>
      <c r="C7" s="124" t="s">
        <v>15</v>
      </c>
      <c r="D7" s="126">
        <v>0.47</v>
      </c>
      <c r="E7" s="134">
        <v>11.9</v>
      </c>
      <c r="G7" s="158" t="s">
        <v>455</v>
      </c>
    </row>
    <row r="8" spans="1:11">
      <c r="A8" s="124" t="s">
        <v>397</v>
      </c>
      <c r="B8" s="125" t="s">
        <v>152</v>
      </c>
      <c r="C8" s="124" t="s">
        <v>15</v>
      </c>
      <c r="D8" s="126">
        <v>2.23</v>
      </c>
      <c r="E8" s="134">
        <v>70.62</v>
      </c>
    </row>
    <row r="9" spans="1:11">
      <c r="A9" s="127" t="s">
        <v>7</v>
      </c>
      <c r="B9" s="124"/>
      <c r="C9" s="124"/>
      <c r="D9" s="131">
        <f>SUM(D2:D8)</f>
        <v>6.6</v>
      </c>
      <c r="E9" s="135">
        <f>SUM(E2:E8)</f>
        <v>198.58</v>
      </c>
    </row>
    <row r="10" spans="1:11">
      <c r="A10" s="127"/>
      <c r="B10" s="124"/>
      <c r="C10" s="124"/>
      <c r="D10" s="131"/>
      <c r="E10" s="135"/>
    </row>
    <row r="11" spans="1:11">
      <c r="A11" s="124" t="s">
        <v>470</v>
      </c>
      <c r="B11" s="125" t="s">
        <v>217</v>
      </c>
      <c r="C11" s="124" t="s">
        <v>218</v>
      </c>
      <c r="D11" s="126">
        <v>2.6</v>
      </c>
      <c r="E11" s="134">
        <v>75</v>
      </c>
    </row>
    <row r="12" spans="1:11">
      <c r="A12" s="127" t="s">
        <v>7</v>
      </c>
      <c r="B12" s="124"/>
      <c r="C12" s="124"/>
      <c r="D12" s="131">
        <f>SUM(D11)</f>
        <v>2.6</v>
      </c>
      <c r="E12" s="135">
        <f>SUM(E11)</f>
        <v>75</v>
      </c>
    </row>
    <row r="13" spans="1:11">
      <c r="A13" s="127"/>
      <c r="B13" s="124"/>
      <c r="C13" s="124"/>
      <c r="D13" s="131"/>
      <c r="E13" s="135"/>
    </row>
    <row r="14" spans="1:11">
      <c r="A14" s="124" t="s">
        <v>331</v>
      </c>
      <c r="B14" s="124">
        <v>400035</v>
      </c>
      <c r="C14" s="124" t="s">
        <v>101</v>
      </c>
      <c r="D14" s="126">
        <v>1.83</v>
      </c>
      <c r="E14" s="134">
        <v>59.92</v>
      </c>
    </row>
    <row r="15" spans="1:11">
      <c r="A15" s="144" t="s">
        <v>307</v>
      </c>
      <c r="B15" s="144">
        <v>100035</v>
      </c>
      <c r="C15" s="144" t="s">
        <v>332</v>
      </c>
      <c r="D15" s="146">
        <v>5.7</v>
      </c>
      <c r="E15" s="147">
        <v>222.9</v>
      </c>
    </row>
    <row r="16" spans="1:11">
      <c r="A16" s="127" t="s">
        <v>7</v>
      </c>
      <c r="B16" s="124"/>
      <c r="C16" s="124"/>
      <c r="D16" s="131">
        <f>SUM(D14:D15)</f>
        <v>7.53</v>
      </c>
      <c r="E16" s="135">
        <f>SUM(E14:E15)</f>
        <v>282.82</v>
      </c>
    </row>
    <row r="17" spans="1:8">
      <c r="A17" s="127"/>
      <c r="B17" s="124"/>
      <c r="C17" s="124"/>
      <c r="D17" s="131"/>
      <c r="E17" s="135"/>
    </row>
    <row r="18" spans="1:8">
      <c r="A18" s="124" t="s">
        <v>20</v>
      </c>
      <c r="B18" s="125" t="s">
        <v>154</v>
      </c>
      <c r="C18" s="124" t="s">
        <v>23</v>
      </c>
      <c r="D18" s="126">
        <v>0.45</v>
      </c>
      <c r="E18" s="134">
        <v>13.66</v>
      </c>
    </row>
    <row r="19" spans="1:8">
      <c r="A19" s="127" t="s">
        <v>7</v>
      </c>
      <c r="B19" s="124"/>
      <c r="C19" s="124"/>
      <c r="D19" s="131">
        <f>SUM(D18)</f>
        <v>0.45</v>
      </c>
      <c r="E19" s="135">
        <f>SUM(E18)</f>
        <v>13.66</v>
      </c>
    </row>
    <row r="20" spans="1:8">
      <c r="A20" s="127"/>
      <c r="B20" s="125"/>
      <c r="C20" s="124"/>
      <c r="D20" s="131"/>
      <c r="E20" s="135"/>
    </row>
    <row r="21" spans="1:8">
      <c r="A21" s="124" t="s">
        <v>471</v>
      </c>
      <c r="B21" s="125" t="s">
        <v>155</v>
      </c>
      <c r="C21" s="124" t="s">
        <v>196</v>
      </c>
      <c r="D21" s="126">
        <v>0.05</v>
      </c>
      <c r="E21" s="134">
        <v>1.73</v>
      </c>
    </row>
    <row r="22" spans="1:8">
      <c r="A22" s="124" t="s">
        <v>195</v>
      </c>
      <c r="B22" s="125" t="s">
        <v>155</v>
      </c>
      <c r="C22" s="124" t="s">
        <v>196</v>
      </c>
      <c r="D22" s="126">
        <v>0.17</v>
      </c>
      <c r="E22" s="134">
        <v>5.75</v>
      </c>
    </row>
    <row r="23" spans="1:8">
      <c r="A23" s="124" t="s">
        <v>415</v>
      </c>
      <c r="B23" s="125" t="s">
        <v>155</v>
      </c>
      <c r="C23" s="124" t="s">
        <v>196</v>
      </c>
      <c r="D23" s="126">
        <v>0.95</v>
      </c>
      <c r="E23" s="134">
        <v>31.45</v>
      </c>
    </row>
    <row r="24" spans="1:8">
      <c r="A24" s="127" t="s">
        <v>7</v>
      </c>
      <c r="B24" s="125"/>
      <c r="C24" s="124"/>
      <c r="D24" s="131">
        <f>SUM(D21:D23)</f>
        <v>1.17</v>
      </c>
      <c r="E24" s="135">
        <f>SUM(E21:E23)</f>
        <v>38.93</v>
      </c>
    </row>
    <row r="25" spans="1:8">
      <c r="A25" s="127"/>
      <c r="B25" s="125"/>
      <c r="C25" s="124"/>
      <c r="D25" s="131"/>
      <c r="E25" s="135"/>
    </row>
    <row r="26" spans="1:8">
      <c r="A26" s="124" t="s">
        <v>335</v>
      </c>
      <c r="B26" s="125" t="s">
        <v>156</v>
      </c>
      <c r="C26" s="124" t="s">
        <v>91</v>
      </c>
      <c r="D26" s="126">
        <v>3.8</v>
      </c>
      <c r="E26" s="134">
        <v>118.56</v>
      </c>
    </row>
    <row r="27" spans="1:8">
      <c r="A27" s="124" t="s">
        <v>456</v>
      </c>
      <c r="B27" s="125" t="s">
        <v>156</v>
      </c>
      <c r="C27" s="124" t="s">
        <v>91</v>
      </c>
      <c r="D27" s="126">
        <v>0.02</v>
      </c>
      <c r="E27" s="134">
        <v>0.45</v>
      </c>
    </row>
    <row r="28" spans="1:8">
      <c r="A28" s="123" t="s">
        <v>417</v>
      </c>
      <c r="B28" s="132" t="s">
        <v>156</v>
      </c>
      <c r="C28" s="123" t="s">
        <v>91</v>
      </c>
      <c r="D28" s="126">
        <v>1.95</v>
      </c>
      <c r="E28" s="134">
        <v>53.24</v>
      </c>
    </row>
    <row r="29" spans="1:8">
      <c r="A29" s="127" t="s">
        <v>7</v>
      </c>
      <c r="B29" s="124"/>
      <c r="C29" s="124"/>
      <c r="D29" s="131">
        <f>SUM(D26:D28)</f>
        <v>5.77</v>
      </c>
      <c r="E29" s="135">
        <f>SUM(E26:E28)</f>
        <v>172.25</v>
      </c>
      <c r="H29" s="155"/>
    </row>
    <row r="30" spans="1:8">
      <c r="A30" s="124"/>
      <c r="B30" s="124"/>
      <c r="C30" s="124"/>
      <c r="D30" s="126"/>
      <c r="E30" s="134"/>
    </row>
    <row r="31" spans="1:8">
      <c r="A31" s="140" t="s">
        <v>391</v>
      </c>
      <c r="B31" s="141" t="s">
        <v>157</v>
      </c>
      <c r="C31" s="140" t="s">
        <v>66</v>
      </c>
      <c r="D31" s="142">
        <v>7.68</v>
      </c>
      <c r="E31" s="143">
        <v>195.93</v>
      </c>
    </row>
    <row r="32" spans="1:8">
      <c r="A32" s="140" t="s">
        <v>228</v>
      </c>
      <c r="B32" s="141" t="s">
        <v>157</v>
      </c>
      <c r="C32" s="140" t="s">
        <v>66</v>
      </c>
      <c r="D32" s="142">
        <v>11.72</v>
      </c>
      <c r="E32" s="143">
        <v>301.58999999999997</v>
      </c>
    </row>
    <row r="33" spans="1:5">
      <c r="A33" s="124" t="s">
        <v>410</v>
      </c>
      <c r="B33" s="125" t="s">
        <v>157</v>
      </c>
      <c r="C33" s="124" t="s">
        <v>66</v>
      </c>
      <c r="D33" s="126">
        <v>1.07</v>
      </c>
      <c r="E33" s="134">
        <v>25.6</v>
      </c>
    </row>
    <row r="34" spans="1:5">
      <c r="A34" s="140" t="s">
        <v>75</v>
      </c>
      <c r="B34" s="141" t="s">
        <v>157</v>
      </c>
      <c r="C34" s="140" t="s">
        <v>66</v>
      </c>
      <c r="D34" s="142">
        <v>4.7</v>
      </c>
      <c r="E34" s="143">
        <v>119.85</v>
      </c>
    </row>
    <row r="35" spans="1:5">
      <c r="A35" s="124" t="s">
        <v>210</v>
      </c>
      <c r="B35" s="125" t="s">
        <v>157</v>
      </c>
      <c r="C35" s="124" t="s">
        <v>66</v>
      </c>
      <c r="D35" s="126">
        <v>0.88</v>
      </c>
      <c r="E35" s="134">
        <v>22.74</v>
      </c>
    </row>
    <row r="36" spans="1:5">
      <c r="A36" s="124" t="s">
        <v>472</v>
      </c>
      <c r="B36" s="125" t="s">
        <v>157</v>
      </c>
      <c r="C36" s="124" t="s">
        <v>66</v>
      </c>
      <c r="D36" s="126">
        <v>1.75</v>
      </c>
      <c r="E36" s="134">
        <v>42</v>
      </c>
    </row>
    <row r="37" spans="1:5">
      <c r="A37" s="124" t="s">
        <v>267</v>
      </c>
      <c r="B37" s="125" t="s">
        <v>157</v>
      </c>
      <c r="C37" s="124" t="s">
        <v>66</v>
      </c>
      <c r="D37" s="126">
        <v>0.03</v>
      </c>
      <c r="E37" s="134">
        <v>0.86</v>
      </c>
    </row>
    <row r="38" spans="1:5">
      <c r="A38" s="124" t="s">
        <v>473</v>
      </c>
      <c r="B38" s="125" t="s">
        <v>157</v>
      </c>
      <c r="C38" s="124" t="s">
        <v>66</v>
      </c>
      <c r="D38" s="126">
        <v>0.5</v>
      </c>
      <c r="E38" s="134">
        <v>11.63</v>
      </c>
    </row>
    <row r="39" spans="1:5">
      <c r="A39" s="124" t="s">
        <v>86</v>
      </c>
      <c r="B39" s="125" t="s">
        <v>157</v>
      </c>
      <c r="C39" s="124" t="s">
        <v>66</v>
      </c>
      <c r="D39" s="126">
        <v>3.43</v>
      </c>
      <c r="E39" s="134">
        <v>90.13</v>
      </c>
    </row>
    <row r="40" spans="1:5">
      <c r="A40" s="140" t="s">
        <v>464</v>
      </c>
      <c r="B40" s="141" t="s">
        <v>157</v>
      </c>
      <c r="C40" s="140" t="s">
        <v>66</v>
      </c>
      <c r="D40" s="142">
        <v>5.47</v>
      </c>
      <c r="E40" s="143">
        <v>131.19999999999999</v>
      </c>
    </row>
    <row r="41" spans="1:5">
      <c r="A41" s="148" t="s">
        <v>292</v>
      </c>
      <c r="B41" s="149" t="s">
        <v>157</v>
      </c>
      <c r="C41" s="148" t="s">
        <v>66</v>
      </c>
      <c r="D41" s="150">
        <v>14.12</v>
      </c>
      <c r="E41" s="143">
        <v>359.98</v>
      </c>
    </row>
    <row r="42" spans="1:5">
      <c r="A42" s="148" t="s">
        <v>429</v>
      </c>
      <c r="B42" s="149" t="s">
        <v>157</v>
      </c>
      <c r="C42" s="148" t="s">
        <v>66</v>
      </c>
      <c r="D42" s="150">
        <v>5.27</v>
      </c>
      <c r="E42" s="143">
        <v>138.25</v>
      </c>
    </row>
    <row r="43" spans="1:5">
      <c r="A43" s="148" t="s">
        <v>159</v>
      </c>
      <c r="B43" s="149" t="s">
        <v>157</v>
      </c>
      <c r="C43" s="148" t="s">
        <v>66</v>
      </c>
      <c r="D43" s="150">
        <v>9.23</v>
      </c>
      <c r="E43" s="143">
        <v>235.45</v>
      </c>
    </row>
    <row r="44" spans="1:5">
      <c r="A44" s="148" t="s">
        <v>407</v>
      </c>
      <c r="B44" s="149" t="s">
        <v>157</v>
      </c>
      <c r="C44" s="148" t="s">
        <v>66</v>
      </c>
      <c r="D44" s="150">
        <v>8.23</v>
      </c>
      <c r="E44" s="143">
        <v>205.87</v>
      </c>
    </row>
    <row r="45" spans="1:5">
      <c r="A45" s="148" t="s">
        <v>328</v>
      </c>
      <c r="B45" s="149" t="s">
        <v>157</v>
      </c>
      <c r="C45" s="148" t="s">
        <v>66</v>
      </c>
      <c r="D45" s="150">
        <v>32.4</v>
      </c>
      <c r="E45" s="143">
        <v>884.52</v>
      </c>
    </row>
    <row r="46" spans="1:5">
      <c r="A46" s="148" t="s">
        <v>458</v>
      </c>
      <c r="B46" s="149" t="s">
        <v>157</v>
      </c>
      <c r="C46" s="148" t="s">
        <v>66</v>
      </c>
      <c r="D46" s="150">
        <v>7.62</v>
      </c>
      <c r="E46" s="143">
        <v>194.23</v>
      </c>
    </row>
    <row r="47" spans="1:5">
      <c r="A47" s="140" t="s">
        <v>422</v>
      </c>
      <c r="B47" s="141" t="s">
        <v>157</v>
      </c>
      <c r="C47" s="140" t="s">
        <v>66</v>
      </c>
      <c r="D47" s="142">
        <v>6.7</v>
      </c>
      <c r="E47" s="143">
        <v>201.8</v>
      </c>
    </row>
    <row r="48" spans="1:5">
      <c r="A48" s="148" t="s">
        <v>79</v>
      </c>
      <c r="B48" s="149" t="s">
        <v>157</v>
      </c>
      <c r="C48" s="148" t="s">
        <v>66</v>
      </c>
      <c r="D48" s="148">
        <v>25.22</v>
      </c>
      <c r="E48" s="143">
        <v>629.41</v>
      </c>
    </row>
    <row r="49" spans="1:5">
      <c r="A49" s="123" t="s">
        <v>451</v>
      </c>
      <c r="B49" s="132" t="s">
        <v>157</v>
      </c>
      <c r="C49" s="123" t="s">
        <v>66</v>
      </c>
      <c r="D49" s="123">
        <v>0.13</v>
      </c>
      <c r="E49" s="134">
        <v>3.3</v>
      </c>
    </row>
    <row r="50" spans="1:5">
      <c r="A50" s="148" t="s">
        <v>375</v>
      </c>
      <c r="B50" s="149" t="s">
        <v>157</v>
      </c>
      <c r="C50" s="148" t="s">
        <v>66</v>
      </c>
      <c r="D50" s="148">
        <v>5.85</v>
      </c>
      <c r="E50" s="143">
        <v>149.18</v>
      </c>
    </row>
    <row r="51" spans="1:5">
      <c r="A51" s="123" t="s">
        <v>161</v>
      </c>
      <c r="B51" s="132" t="s">
        <v>157</v>
      </c>
      <c r="C51" s="123" t="s">
        <v>66</v>
      </c>
      <c r="D51" s="123">
        <v>2.3199999999999998</v>
      </c>
      <c r="E51" s="134">
        <v>57.82</v>
      </c>
    </row>
    <row r="52" spans="1:5">
      <c r="A52" s="127" t="s">
        <v>7</v>
      </c>
      <c r="B52" s="124"/>
      <c r="C52" s="124"/>
      <c r="D52" s="131">
        <f>SUM(D31:D51)</f>
        <v>154.31999999999996</v>
      </c>
      <c r="E52" s="135">
        <f>SUM(E31:E51)</f>
        <v>4001.34</v>
      </c>
    </row>
    <row r="53" spans="1:5">
      <c r="A53" s="127"/>
      <c r="B53" s="124"/>
      <c r="C53" s="124"/>
      <c r="D53" s="131"/>
      <c r="E53" s="135"/>
    </row>
    <row r="54" spans="1:5">
      <c r="A54" s="140" t="s">
        <v>163</v>
      </c>
      <c r="B54" s="141" t="s">
        <v>162</v>
      </c>
      <c r="C54" s="140" t="s">
        <v>51</v>
      </c>
      <c r="D54" s="142">
        <v>10.199999999999999</v>
      </c>
      <c r="E54" s="143">
        <v>336.6</v>
      </c>
    </row>
    <row r="55" spans="1:5">
      <c r="A55" s="127" t="s">
        <v>7</v>
      </c>
      <c r="B55" s="125"/>
      <c r="C55" s="124"/>
      <c r="D55" s="131">
        <f>SUM(D54:D54)</f>
        <v>10.199999999999999</v>
      </c>
      <c r="E55" s="135">
        <f>SUM(E54:E54)</f>
        <v>336.6</v>
      </c>
    </row>
    <row r="56" spans="1:5">
      <c r="A56" s="127"/>
      <c r="B56" s="124"/>
      <c r="C56" s="124"/>
      <c r="D56" s="131"/>
      <c r="E56" s="135"/>
    </row>
    <row r="57" spans="1:5">
      <c r="A57" s="140" t="s">
        <v>203</v>
      </c>
      <c r="B57" s="141" t="s">
        <v>164</v>
      </c>
      <c r="C57" s="140" t="s">
        <v>60</v>
      </c>
      <c r="D57" s="142">
        <v>8.1199999999999992</v>
      </c>
      <c r="E57" s="143">
        <v>182.63</v>
      </c>
    </row>
    <row r="58" spans="1:5">
      <c r="A58" s="140" t="s">
        <v>411</v>
      </c>
      <c r="B58" s="141" t="s">
        <v>164</v>
      </c>
      <c r="C58" s="140" t="s">
        <v>60</v>
      </c>
      <c r="D58" s="142">
        <v>7.15</v>
      </c>
      <c r="E58" s="143">
        <v>237.02</v>
      </c>
    </row>
    <row r="59" spans="1:5">
      <c r="A59" s="140" t="s">
        <v>64</v>
      </c>
      <c r="B59" s="141" t="s">
        <v>164</v>
      </c>
      <c r="C59" s="140" t="s">
        <v>60</v>
      </c>
      <c r="D59" s="142">
        <v>7.33</v>
      </c>
      <c r="E59" s="143">
        <v>165</v>
      </c>
    </row>
    <row r="60" spans="1:5">
      <c r="A60" s="127" t="s">
        <v>7</v>
      </c>
      <c r="B60" s="124"/>
      <c r="C60" s="124"/>
      <c r="D60" s="131">
        <f>SUM(D57:D59)</f>
        <v>22.6</v>
      </c>
      <c r="E60" s="135">
        <f>SUM(E57:E59)</f>
        <v>584.65</v>
      </c>
    </row>
    <row r="61" spans="1:5">
      <c r="A61" s="127"/>
      <c r="B61" s="124"/>
      <c r="C61" s="124"/>
      <c r="D61" s="131"/>
      <c r="E61" s="135"/>
    </row>
    <row r="62" spans="1:5">
      <c r="A62" s="140" t="s">
        <v>474</v>
      </c>
      <c r="B62" s="141" t="s">
        <v>165</v>
      </c>
      <c r="C62" s="140" t="s">
        <v>465</v>
      </c>
      <c r="D62" s="142">
        <v>8.75</v>
      </c>
      <c r="E62" s="143">
        <v>216.56</v>
      </c>
    </row>
    <row r="63" spans="1:5">
      <c r="A63" s="124" t="s">
        <v>372</v>
      </c>
      <c r="B63" s="125" t="s">
        <v>165</v>
      </c>
      <c r="C63" s="124" t="s">
        <v>465</v>
      </c>
      <c r="D63" s="126">
        <v>0.33</v>
      </c>
      <c r="E63" s="134">
        <v>8</v>
      </c>
    </row>
    <row r="64" spans="1:5">
      <c r="A64" s="124" t="s">
        <v>412</v>
      </c>
      <c r="B64" s="125" t="s">
        <v>165</v>
      </c>
      <c r="C64" s="124" t="s">
        <v>465</v>
      </c>
      <c r="D64" s="126">
        <v>2.13</v>
      </c>
      <c r="E64" s="134">
        <v>51.2</v>
      </c>
    </row>
    <row r="65" spans="1:5">
      <c r="A65" s="127" t="s">
        <v>7</v>
      </c>
      <c r="B65" s="125"/>
      <c r="C65" s="124"/>
      <c r="D65" s="131">
        <f>SUM(D62:D64)</f>
        <v>11.21</v>
      </c>
      <c r="E65" s="135">
        <f>SUM(E62:E64)</f>
        <v>275.76</v>
      </c>
    </row>
    <row r="66" spans="1:5">
      <c r="A66" s="127"/>
      <c r="B66" s="124"/>
      <c r="C66" s="124"/>
      <c r="D66" s="131"/>
      <c r="E66" s="135"/>
    </row>
    <row r="67" spans="1:5">
      <c r="A67" s="140" t="s">
        <v>345</v>
      </c>
      <c r="B67" s="141" t="s">
        <v>167</v>
      </c>
      <c r="C67" s="140" t="s">
        <v>54</v>
      </c>
      <c r="D67" s="142">
        <v>9.07</v>
      </c>
      <c r="E67" s="143">
        <v>245.21</v>
      </c>
    </row>
    <row r="68" spans="1:5">
      <c r="A68" s="124" t="s">
        <v>421</v>
      </c>
      <c r="B68" s="125" t="s">
        <v>167</v>
      </c>
      <c r="C68" s="124" t="s">
        <v>54</v>
      </c>
      <c r="D68" s="126">
        <v>1.1200000000000001</v>
      </c>
      <c r="E68" s="134">
        <v>30.75</v>
      </c>
    </row>
    <row r="69" spans="1:5">
      <c r="A69" s="124" t="s">
        <v>393</v>
      </c>
      <c r="B69" s="125" t="s">
        <v>167</v>
      </c>
      <c r="C69" s="124" t="s">
        <v>54</v>
      </c>
      <c r="D69" s="126">
        <v>2.08</v>
      </c>
      <c r="E69" s="134">
        <v>50</v>
      </c>
    </row>
    <row r="70" spans="1:5">
      <c r="A70" s="127" t="s">
        <v>7</v>
      </c>
      <c r="B70" s="125"/>
      <c r="C70" s="124"/>
      <c r="D70" s="131">
        <f>SUM(D67:D69)</f>
        <v>12.270000000000001</v>
      </c>
      <c r="E70" s="135">
        <f>SUM(E67:E69)</f>
        <v>325.96000000000004</v>
      </c>
    </row>
    <row r="71" spans="1:5">
      <c r="A71" s="127"/>
      <c r="B71" s="125"/>
      <c r="C71" s="124"/>
      <c r="D71" s="131"/>
      <c r="E71" s="135"/>
    </row>
    <row r="72" spans="1:5">
      <c r="A72" s="162" t="s">
        <v>459</v>
      </c>
      <c r="B72" s="163" t="s">
        <v>171</v>
      </c>
      <c r="C72" s="162" t="s">
        <v>25</v>
      </c>
      <c r="D72" s="164">
        <v>6.1</v>
      </c>
      <c r="E72" s="165">
        <v>169.64</v>
      </c>
    </row>
    <row r="73" spans="1:5">
      <c r="A73" s="124" t="s">
        <v>436</v>
      </c>
      <c r="B73" s="125" t="s">
        <v>171</v>
      </c>
      <c r="C73" s="124" t="s">
        <v>25</v>
      </c>
      <c r="D73" s="126">
        <v>0.67</v>
      </c>
      <c r="E73" s="134">
        <v>20.6</v>
      </c>
    </row>
    <row r="74" spans="1:5">
      <c r="A74" s="124" t="s">
        <v>368</v>
      </c>
      <c r="B74" s="125" t="s">
        <v>171</v>
      </c>
      <c r="C74" s="124" t="s">
        <v>25</v>
      </c>
      <c r="D74" s="126">
        <v>2.2999999999999998</v>
      </c>
      <c r="E74" s="134">
        <v>83.49</v>
      </c>
    </row>
    <row r="75" spans="1:5">
      <c r="A75" s="127" t="s">
        <v>7</v>
      </c>
      <c r="B75" s="124"/>
      <c r="C75" s="124"/>
      <c r="D75" s="131">
        <f>SUM(D72:D74)</f>
        <v>9.07</v>
      </c>
      <c r="E75" s="135">
        <f>SUM(E72:E74)</f>
        <v>273.72999999999996</v>
      </c>
    </row>
    <row r="76" spans="1:5">
      <c r="A76" s="127"/>
      <c r="B76" s="124"/>
      <c r="C76" s="124"/>
      <c r="D76" s="131"/>
      <c r="E76" s="135"/>
    </row>
    <row r="77" spans="1:5">
      <c r="A77" s="124" t="s">
        <v>394</v>
      </c>
      <c r="B77" s="125" t="s">
        <v>172</v>
      </c>
      <c r="C77" s="124" t="s">
        <v>348</v>
      </c>
      <c r="D77" s="126">
        <v>0.68</v>
      </c>
      <c r="E77" s="134">
        <v>25.34</v>
      </c>
    </row>
    <row r="78" spans="1:5">
      <c r="A78" s="124" t="s">
        <v>413</v>
      </c>
      <c r="B78" s="125" t="s">
        <v>172</v>
      </c>
      <c r="C78" s="124" t="s">
        <v>348</v>
      </c>
      <c r="D78" s="126">
        <v>0.2</v>
      </c>
      <c r="E78" s="134">
        <v>7.06</v>
      </c>
    </row>
    <row r="79" spans="1:5">
      <c r="A79" s="127" t="s">
        <v>7</v>
      </c>
      <c r="B79" s="124"/>
      <c r="C79" s="124"/>
      <c r="D79" s="131">
        <f>SUM(D77:D78)</f>
        <v>0.88000000000000012</v>
      </c>
      <c r="E79" s="135">
        <f>SUM(E77:E78)</f>
        <v>32.4</v>
      </c>
    </row>
    <row r="80" spans="1:5">
      <c r="A80" s="127"/>
      <c r="B80" s="124"/>
      <c r="C80" s="124"/>
      <c r="D80" s="126"/>
      <c r="E80" s="134"/>
    </row>
    <row r="81" spans="1:5">
      <c r="A81" s="140" t="s">
        <v>37</v>
      </c>
      <c r="B81" s="140">
        <v>100051</v>
      </c>
      <c r="C81" s="140" t="s">
        <v>34</v>
      </c>
      <c r="D81" s="142">
        <v>17.329999999999998</v>
      </c>
      <c r="E81" s="143">
        <v>442</v>
      </c>
    </row>
    <row r="82" spans="1:5">
      <c r="A82" s="124" t="s">
        <v>39</v>
      </c>
      <c r="B82" s="124">
        <v>100051</v>
      </c>
      <c r="C82" s="124" t="s">
        <v>34</v>
      </c>
      <c r="D82" s="126">
        <v>1.02</v>
      </c>
      <c r="E82" s="134">
        <v>25.16</v>
      </c>
    </row>
    <row r="83" spans="1:5">
      <c r="A83" s="127" t="s">
        <v>7</v>
      </c>
      <c r="B83" s="124"/>
      <c r="C83" s="124"/>
      <c r="D83" s="131">
        <f>SUM(D81:D82)</f>
        <v>18.349999999999998</v>
      </c>
      <c r="E83" s="135">
        <f>SUM(E81:E82)</f>
        <v>467.16</v>
      </c>
    </row>
    <row r="84" spans="1:5">
      <c r="A84" s="127"/>
      <c r="B84" s="124"/>
      <c r="C84" s="124"/>
      <c r="D84" s="131"/>
      <c r="E84" s="135"/>
    </row>
    <row r="85" spans="1:5">
      <c r="A85" s="140" t="s">
        <v>236</v>
      </c>
      <c r="B85" s="140">
        <v>290051</v>
      </c>
      <c r="C85" s="140" t="s">
        <v>396</v>
      </c>
      <c r="D85" s="142">
        <v>20.350000000000001</v>
      </c>
      <c r="E85" s="143">
        <v>440.17</v>
      </c>
    </row>
    <row r="86" spans="1:5">
      <c r="A86" s="140" t="s">
        <v>215</v>
      </c>
      <c r="B86" s="140">
        <v>290051</v>
      </c>
      <c r="C86" s="140" t="s">
        <v>396</v>
      </c>
      <c r="D86" s="142">
        <v>16.420000000000002</v>
      </c>
      <c r="E86" s="143">
        <v>342.53</v>
      </c>
    </row>
    <row r="87" spans="1:5">
      <c r="A87" s="140" t="s">
        <v>144</v>
      </c>
      <c r="B87" s="140">
        <v>290051</v>
      </c>
      <c r="C87" s="140" t="s">
        <v>396</v>
      </c>
      <c r="D87" s="142">
        <v>18.420000000000002</v>
      </c>
      <c r="E87" s="143">
        <v>430.95</v>
      </c>
    </row>
    <row r="88" spans="1:5">
      <c r="A88" s="140" t="s">
        <v>453</v>
      </c>
      <c r="B88" s="140">
        <v>290051</v>
      </c>
      <c r="C88" s="140" t="s">
        <v>396</v>
      </c>
      <c r="D88" s="142">
        <v>10</v>
      </c>
      <c r="E88" s="143">
        <v>208.65</v>
      </c>
    </row>
    <row r="89" spans="1:5">
      <c r="A89" s="127" t="s">
        <v>7</v>
      </c>
      <c r="B89" s="124"/>
      <c r="C89" s="124"/>
      <c r="D89" s="131">
        <f>SUM(D85:D88)</f>
        <v>65.19</v>
      </c>
      <c r="E89" s="135">
        <f>SUM(E85:E88)</f>
        <v>1422.3000000000002</v>
      </c>
    </row>
    <row r="90" spans="1:5">
      <c r="A90" s="127"/>
      <c r="B90" s="124"/>
      <c r="C90" s="124"/>
      <c r="D90" s="131"/>
      <c r="E90" s="135"/>
    </row>
    <row r="91" spans="1:5">
      <c r="A91" s="151" t="s">
        <v>282</v>
      </c>
      <c r="B91" s="151">
        <v>450044</v>
      </c>
      <c r="C91" s="151" t="s">
        <v>134</v>
      </c>
      <c r="D91" s="152">
        <v>5.28</v>
      </c>
      <c r="E91" s="153">
        <v>148.36000000000001</v>
      </c>
    </row>
    <row r="92" spans="1:5">
      <c r="A92" s="124" t="s">
        <v>369</v>
      </c>
      <c r="B92" s="124">
        <v>450044</v>
      </c>
      <c r="C92" s="124" t="s">
        <v>134</v>
      </c>
      <c r="D92" s="126">
        <v>2.4500000000000002</v>
      </c>
      <c r="E92" s="134">
        <v>58.8</v>
      </c>
    </row>
    <row r="93" spans="1:5">
      <c r="A93" s="127" t="s">
        <v>7</v>
      </c>
      <c r="B93" s="124"/>
      <c r="C93" s="124"/>
      <c r="D93" s="131">
        <f>SUM(D91:D92)</f>
        <v>7.73</v>
      </c>
      <c r="E93" s="135">
        <f>SUM(E91:E92)</f>
        <v>207.16000000000003</v>
      </c>
    </row>
    <row r="94" spans="1:5">
      <c r="A94" s="127"/>
      <c r="B94" s="124"/>
      <c r="C94" s="124"/>
      <c r="D94" s="131"/>
      <c r="E94" s="135"/>
    </row>
    <row r="95" spans="1:5">
      <c r="A95" s="124" t="s">
        <v>427</v>
      </c>
      <c r="B95" s="124">
        <v>450045</v>
      </c>
      <c r="C95" s="124" t="s">
        <v>131</v>
      </c>
      <c r="D95" s="126">
        <v>4.18</v>
      </c>
      <c r="E95" s="134">
        <v>81.58</v>
      </c>
    </row>
    <row r="96" spans="1:5">
      <c r="A96" s="127" t="s">
        <v>7</v>
      </c>
      <c r="B96" s="124"/>
      <c r="C96" s="124"/>
      <c r="D96" s="131">
        <f>SUM(D95)</f>
        <v>4.18</v>
      </c>
      <c r="E96" s="135">
        <f>SUM(E95)</f>
        <v>81.58</v>
      </c>
    </row>
    <row r="97" spans="1:5">
      <c r="A97" s="127"/>
      <c r="B97" s="124"/>
      <c r="C97" s="124"/>
      <c r="D97" s="131"/>
      <c r="E97" s="135"/>
    </row>
    <row r="98" spans="1:5">
      <c r="A98" s="140" t="s">
        <v>41</v>
      </c>
      <c r="B98" s="140">
        <v>100052</v>
      </c>
      <c r="C98" s="140" t="s">
        <v>43</v>
      </c>
      <c r="D98" s="142">
        <v>8.0299999999999994</v>
      </c>
      <c r="E98" s="143">
        <v>216.9</v>
      </c>
    </row>
    <row r="99" spans="1:5">
      <c r="A99" s="127" t="s">
        <v>7</v>
      </c>
      <c r="B99" s="124"/>
      <c r="C99" s="124"/>
      <c r="D99" s="131">
        <f>SUM(D98)</f>
        <v>8.0299999999999994</v>
      </c>
      <c r="E99" s="135">
        <f>SUM(E98)</f>
        <v>216.9</v>
      </c>
    </row>
    <row r="100" spans="1:5">
      <c r="A100" s="127"/>
      <c r="B100" s="124"/>
      <c r="C100" s="124"/>
      <c r="D100" s="131"/>
      <c r="E100" s="135"/>
    </row>
    <row r="101" spans="1:5">
      <c r="A101" s="124" t="s">
        <v>475</v>
      </c>
      <c r="B101" s="124" t="s">
        <v>476</v>
      </c>
      <c r="C101" s="124" t="s">
        <v>477</v>
      </c>
      <c r="D101" s="126">
        <v>0.17</v>
      </c>
      <c r="E101" s="134">
        <v>6.01</v>
      </c>
    </row>
    <row r="102" spans="1:5">
      <c r="A102" s="127" t="s">
        <v>7</v>
      </c>
      <c r="B102" s="124"/>
      <c r="C102" s="124"/>
      <c r="D102" s="131">
        <f>SUM(D101)</f>
        <v>0.17</v>
      </c>
      <c r="E102" s="135">
        <f>SUM(E101)</f>
        <v>6.01</v>
      </c>
    </row>
    <row r="103" spans="1:5">
      <c r="A103" s="127"/>
      <c r="B103" s="124"/>
      <c r="C103" s="124"/>
      <c r="D103" s="131"/>
      <c r="E103" s="135"/>
    </row>
    <row r="104" spans="1:5">
      <c r="A104" s="122" t="s">
        <v>194</v>
      </c>
      <c r="B104" s="123"/>
      <c r="C104" s="123"/>
      <c r="D104" s="131">
        <v>349.5</v>
      </c>
      <c r="E104" s="135">
        <v>9050.2099999999991</v>
      </c>
    </row>
  </sheetData>
  <mergeCells count="1">
    <mergeCell ref="G4:K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K117"/>
  <sheetViews>
    <sheetView topLeftCell="A63" workbookViewId="0">
      <selection activeCell="E100" sqref="E100"/>
    </sheetView>
  </sheetViews>
  <sheetFormatPr defaultRowHeight="12.75"/>
  <cols>
    <col min="1" max="1" width="31.7109375" style="123" customWidth="1"/>
    <col min="2" max="2" width="22.7109375" style="123" customWidth="1"/>
    <col min="3" max="3" width="36.7109375" style="123" customWidth="1"/>
    <col min="4" max="4" width="22.7109375" style="123" customWidth="1"/>
    <col min="5" max="5" width="25.7109375" style="167" customWidth="1"/>
    <col min="7" max="7" width="23.140625" customWidth="1"/>
    <col min="8" max="8" width="18.140625" customWidth="1"/>
    <col min="9" max="9" width="13.85546875" customWidth="1"/>
    <col min="10" max="10" width="11.28515625" customWidth="1"/>
    <col min="11" max="11" width="14.7109375" customWidth="1"/>
  </cols>
  <sheetData>
    <row r="1" spans="1:11">
      <c r="A1" s="122" t="s">
        <v>147</v>
      </c>
      <c r="B1" s="122" t="s">
        <v>148</v>
      </c>
      <c r="C1" s="122" t="s">
        <v>149</v>
      </c>
      <c r="D1" s="122" t="s">
        <v>150</v>
      </c>
      <c r="E1" s="154" t="s">
        <v>151</v>
      </c>
      <c r="G1" s="38" t="s">
        <v>259</v>
      </c>
      <c r="H1" s="58" t="s">
        <v>334</v>
      </c>
      <c r="I1" s="40" t="s">
        <v>260</v>
      </c>
      <c r="J1" s="119" t="s">
        <v>262</v>
      </c>
      <c r="K1" s="39" t="s">
        <v>261</v>
      </c>
    </row>
    <row r="2" spans="1:11">
      <c r="A2" s="124" t="s">
        <v>366</v>
      </c>
      <c r="B2" s="125" t="s">
        <v>152</v>
      </c>
      <c r="C2" s="124" t="s">
        <v>15</v>
      </c>
      <c r="D2" s="126">
        <v>0.27</v>
      </c>
      <c r="E2" s="134">
        <v>7.14</v>
      </c>
      <c r="G2" s="13">
        <f>E32+E40+E42+E44+E47+E56+E58+E61+E63+E67+E84+E87+E88+E94+E53</f>
        <v>6439.25</v>
      </c>
      <c r="H2" s="176">
        <f>E6</f>
        <v>162.22999999999999</v>
      </c>
      <c r="I2" s="66">
        <v>0</v>
      </c>
      <c r="J2" s="166">
        <f>E74</f>
        <v>373.79</v>
      </c>
      <c r="K2" s="16">
        <f>E91</f>
        <v>98.15</v>
      </c>
    </row>
    <row r="3" spans="1:11">
      <c r="A3" s="124" t="s">
        <v>468</v>
      </c>
      <c r="B3" s="125" t="s">
        <v>152</v>
      </c>
      <c r="C3" s="124" t="s">
        <v>15</v>
      </c>
      <c r="D3" s="126">
        <v>0.55000000000000004</v>
      </c>
      <c r="E3" s="134">
        <v>16.91</v>
      </c>
      <c r="G3" s="18"/>
      <c r="I3" s="18"/>
      <c r="J3" s="18"/>
      <c r="K3" s="18"/>
    </row>
    <row r="4" spans="1:11">
      <c r="A4" s="124" t="s">
        <v>389</v>
      </c>
      <c r="B4" s="125" t="s">
        <v>152</v>
      </c>
      <c r="C4" s="124" t="s">
        <v>15</v>
      </c>
      <c r="D4" s="126">
        <v>1</v>
      </c>
      <c r="E4" s="134">
        <v>29.71</v>
      </c>
      <c r="G4" s="305" t="s">
        <v>263</v>
      </c>
      <c r="H4" s="305"/>
      <c r="I4" s="305"/>
      <c r="J4" s="305"/>
      <c r="K4" s="305"/>
    </row>
    <row r="5" spans="1:11">
      <c r="A5" s="124" t="s">
        <v>434</v>
      </c>
      <c r="B5" s="124">
        <v>400020</v>
      </c>
      <c r="C5" s="124" t="s">
        <v>98</v>
      </c>
      <c r="D5" s="126">
        <v>0.85</v>
      </c>
      <c r="E5" s="134">
        <v>27.32</v>
      </c>
      <c r="G5" t="s">
        <v>461</v>
      </c>
    </row>
    <row r="6" spans="1:11" ht="15">
      <c r="A6" s="168" t="s">
        <v>377</v>
      </c>
      <c r="B6" s="169" t="s">
        <v>152</v>
      </c>
      <c r="C6" s="168" t="s">
        <v>15</v>
      </c>
      <c r="D6" s="170">
        <v>4.8499999999999996</v>
      </c>
      <c r="E6" s="171">
        <v>162.22999999999999</v>
      </c>
      <c r="G6" s="157" t="s">
        <v>454</v>
      </c>
    </row>
    <row r="7" spans="1:11" ht="15">
      <c r="A7" s="124" t="s">
        <v>469</v>
      </c>
      <c r="B7" s="125" t="s">
        <v>152</v>
      </c>
      <c r="C7" s="124" t="s">
        <v>15</v>
      </c>
      <c r="D7" s="126">
        <v>0.8</v>
      </c>
      <c r="E7" s="134">
        <v>20.399999999999999</v>
      </c>
      <c r="G7" s="158" t="s">
        <v>455</v>
      </c>
    </row>
    <row r="8" spans="1:11">
      <c r="A8" s="123" t="s">
        <v>426</v>
      </c>
      <c r="B8" s="132" t="s">
        <v>178</v>
      </c>
      <c r="C8" s="123" t="s">
        <v>373</v>
      </c>
      <c r="D8" s="126">
        <v>0.18</v>
      </c>
      <c r="E8" s="134">
        <v>6.13</v>
      </c>
    </row>
    <row r="9" spans="1:11">
      <c r="A9" s="127" t="s">
        <v>7</v>
      </c>
      <c r="B9" s="124"/>
      <c r="C9" s="124"/>
      <c r="D9" s="131">
        <f>SUM(D2:D8)</f>
        <v>8.5</v>
      </c>
      <c r="E9" s="135">
        <f>SUM(E2:E8)</f>
        <v>269.83999999999997</v>
      </c>
    </row>
    <row r="10" spans="1:11">
      <c r="A10" s="127"/>
      <c r="B10" s="124"/>
      <c r="C10" s="124"/>
      <c r="D10" s="131"/>
      <c r="E10" s="135"/>
    </row>
    <row r="11" spans="1:11">
      <c r="A11" s="124" t="s">
        <v>470</v>
      </c>
      <c r="B11" s="125" t="s">
        <v>217</v>
      </c>
      <c r="C11" s="124" t="s">
        <v>218</v>
      </c>
      <c r="D11" s="126">
        <v>0.27</v>
      </c>
      <c r="E11" s="134">
        <v>7.69</v>
      </c>
    </row>
    <row r="12" spans="1:11">
      <c r="A12" s="127" t="s">
        <v>7</v>
      </c>
      <c r="B12" s="124"/>
      <c r="C12" s="124"/>
      <c r="D12" s="131">
        <f>SUM(D11)</f>
        <v>0.27</v>
      </c>
      <c r="E12" s="135">
        <f>SUM(E11)</f>
        <v>7.69</v>
      </c>
    </row>
    <row r="13" spans="1:11">
      <c r="A13" s="127"/>
      <c r="B13" s="124"/>
      <c r="C13" s="124"/>
      <c r="D13" s="131"/>
      <c r="E13" s="135"/>
    </row>
    <row r="14" spans="1:11">
      <c r="A14" s="124" t="s">
        <v>331</v>
      </c>
      <c r="B14" s="124">
        <v>400035</v>
      </c>
      <c r="C14" s="124" t="s">
        <v>101</v>
      </c>
      <c r="D14" s="126">
        <v>0.78</v>
      </c>
      <c r="E14" s="134">
        <v>25.6</v>
      </c>
    </row>
    <row r="15" spans="1:11">
      <c r="A15" s="124" t="s">
        <v>307</v>
      </c>
      <c r="B15" s="124">
        <v>100035</v>
      </c>
      <c r="C15" s="124" t="s">
        <v>332</v>
      </c>
      <c r="D15" s="126">
        <v>3.38</v>
      </c>
      <c r="E15" s="134">
        <v>132.31</v>
      </c>
    </row>
    <row r="16" spans="1:11">
      <c r="A16" s="124" t="s">
        <v>398</v>
      </c>
      <c r="B16" s="124">
        <v>200035</v>
      </c>
      <c r="C16" s="124" t="s">
        <v>9</v>
      </c>
      <c r="D16" s="126">
        <v>0.32</v>
      </c>
      <c r="E16" s="134">
        <v>9.41</v>
      </c>
    </row>
    <row r="17" spans="1:5">
      <c r="A17" s="127" t="s">
        <v>7</v>
      </c>
      <c r="B17" s="124"/>
      <c r="C17" s="124"/>
      <c r="D17" s="131">
        <f>SUM(D14:D16)</f>
        <v>4.4800000000000004</v>
      </c>
      <c r="E17" s="135">
        <f>SUM(E14:E16)</f>
        <v>167.32</v>
      </c>
    </row>
    <row r="18" spans="1:5">
      <c r="A18" s="127"/>
      <c r="B18" s="124"/>
      <c r="C18" s="124"/>
      <c r="D18" s="131"/>
      <c r="E18" s="135"/>
    </row>
    <row r="19" spans="1:5">
      <c r="A19" s="124" t="s">
        <v>20</v>
      </c>
      <c r="B19" s="125" t="s">
        <v>154</v>
      </c>
      <c r="C19" s="124" t="s">
        <v>23</v>
      </c>
      <c r="D19" s="126">
        <v>0.13</v>
      </c>
      <c r="E19" s="134">
        <v>4.05</v>
      </c>
    </row>
    <row r="20" spans="1:5">
      <c r="A20" s="127" t="s">
        <v>7</v>
      </c>
      <c r="B20" s="124"/>
      <c r="C20" s="124"/>
      <c r="D20" s="131">
        <f>SUM(D19)</f>
        <v>0.13</v>
      </c>
      <c r="E20" s="135">
        <f>SUM(E19)</f>
        <v>4.05</v>
      </c>
    </row>
    <row r="21" spans="1:5">
      <c r="A21" s="127"/>
      <c r="B21" s="125"/>
      <c r="C21" s="124"/>
      <c r="D21" s="131"/>
      <c r="E21" s="135"/>
    </row>
    <row r="22" spans="1:5">
      <c r="A22" s="124" t="s">
        <v>471</v>
      </c>
      <c r="B22" s="125" t="s">
        <v>155</v>
      </c>
      <c r="C22" s="124" t="s">
        <v>196</v>
      </c>
      <c r="D22" s="126">
        <v>0.28000000000000003</v>
      </c>
      <c r="E22" s="134">
        <v>9.7799999999999994</v>
      </c>
    </row>
    <row r="23" spans="1:5">
      <c r="A23" s="124" t="s">
        <v>415</v>
      </c>
      <c r="B23" s="125" t="s">
        <v>155</v>
      </c>
      <c r="C23" s="124" t="s">
        <v>196</v>
      </c>
      <c r="D23" s="126">
        <v>0.03</v>
      </c>
      <c r="E23" s="134">
        <v>1.1000000000000001</v>
      </c>
    </row>
    <row r="24" spans="1:5">
      <c r="A24" s="124" t="s">
        <v>462</v>
      </c>
      <c r="B24" s="125" t="s">
        <v>155</v>
      </c>
      <c r="C24" s="124" t="s">
        <v>196</v>
      </c>
      <c r="D24" s="126">
        <v>0.65</v>
      </c>
      <c r="E24" s="134">
        <v>21.57</v>
      </c>
    </row>
    <row r="25" spans="1:5">
      <c r="A25" s="127" t="s">
        <v>7</v>
      </c>
      <c r="B25" s="125"/>
      <c r="C25" s="124"/>
      <c r="D25" s="131">
        <f>SUM(D22:D24)</f>
        <v>0.96000000000000008</v>
      </c>
      <c r="E25" s="135">
        <f>SUM(E22:E24)</f>
        <v>32.450000000000003</v>
      </c>
    </row>
    <row r="26" spans="1:5">
      <c r="A26" s="127"/>
      <c r="B26" s="125"/>
      <c r="C26" s="124"/>
      <c r="D26" s="131"/>
      <c r="E26" s="135"/>
    </row>
    <row r="27" spans="1:5">
      <c r="A27" s="124" t="s">
        <v>335</v>
      </c>
      <c r="B27" s="125" t="s">
        <v>156</v>
      </c>
      <c r="C27" s="124" t="s">
        <v>91</v>
      </c>
      <c r="D27" s="126">
        <v>1.92</v>
      </c>
      <c r="E27" s="134">
        <v>59.8</v>
      </c>
    </row>
    <row r="28" spans="1:5">
      <c r="A28" s="124" t="s">
        <v>456</v>
      </c>
      <c r="B28" s="125" t="s">
        <v>156</v>
      </c>
      <c r="C28" s="124" t="s">
        <v>91</v>
      </c>
      <c r="D28" s="126">
        <v>0.77</v>
      </c>
      <c r="E28" s="134">
        <v>20.7</v>
      </c>
    </row>
    <row r="29" spans="1:5">
      <c r="A29" s="123" t="s">
        <v>417</v>
      </c>
      <c r="B29" s="132" t="s">
        <v>156</v>
      </c>
      <c r="C29" s="123" t="s">
        <v>91</v>
      </c>
      <c r="D29" s="126">
        <v>0.37</v>
      </c>
      <c r="E29" s="134">
        <v>10.01</v>
      </c>
    </row>
    <row r="30" spans="1:5">
      <c r="A30" s="127" t="s">
        <v>7</v>
      </c>
      <c r="B30" s="124"/>
      <c r="C30" s="124"/>
      <c r="D30" s="131">
        <f>SUM(D27:D29)</f>
        <v>3.06</v>
      </c>
      <c r="E30" s="135">
        <f>SUM(E27:E29)</f>
        <v>90.51</v>
      </c>
    </row>
    <row r="31" spans="1:5">
      <c r="A31" s="124"/>
      <c r="B31" s="124"/>
      <c r="C31" s="124"/>
      <c r="D31" s="126"/>
      <c r="E31" s="134"/>
    </row>
    <row r="32" spans="1:5">
      <c r="A32" s="140" t="s">
        <v>391</v>
      </c>
      <c r="B32" s="141" t="s">
        <v>157</v>
      </c>
      <c r="C32" s="140" t="s">
        <v>66</v>
      </c>
      <c r="D32" s="142">
        <v>7.35</v>
      </c>
      <c r="E32" s="143">
        <v>187.43</v>
      </c>
    </row>
    <row r="33" spans="1:5">
      <c r="A33" s="124" t="s">
        <v>478</v>
      </c>
      <c r="B33" s="125" t="s">
        <v>157</v>
      </c>
      <c r="C33" s="124" t="s">
        <v>66</v>
      </c>
      <c r="D33" s="126">
        <v>0.15</v>
      </c>
      <c r="E33" s="134">
        <v>3.6</v>
      </c>
    </row>
    <row r="34" spans="1:5">
      <c r="A34" s="124" t="s">
        <v>228</v>
      </c>
      <c r="B34" s="125" t="s">
        <v>157</v>
      </c>
      <c r="C34" s="124" t="s">
        <v>66</v>
      </c>
      <c r="D34" s="126">
        <v>3.13</v>
      </c>
      <c r="E34" s="134">
        <v>80.650000000000006</v>
      </c>
    </row>
    <row r="35" spans="1:5">
      <c r="A35" s="124" t="s">
        <v>210</v>
      </c>
      <c r="B35" s="125" t="s">
        <v>157</v>
      </c>
      <c r="C35" s="124" t="s">
        <v>66</v>
      </c>
      <c r="D35" s="126">
        <v>0.63</v>
      </c>
      <c r="E35" s="134">
        <v>16.3</v>
      </c>
    </row>
    <row r="36" spans="1:5">
      <c r="A36" s="124" t="s">
        <v>472</v>
      </c>
      <c r="B36" s="125" t="s">
        <v>157</v>
      </c>
      <c r="C36" s="124" t="s">
        <v>66</v>
      </c>
      <c r="D36" s="126">
        <v>1.95</v>
      </c>
      <c r="E36" s="134">
        <v>46.8</v>
      </c>
    </row>
    <row r="37" spans="1:5">
      <c r="A37" s="124" t="s">
        <v>267</v>
      </c>
      <c r="B37" s="125" t="s">
        <v>157</v>
      </c>
      <c r="C37" s="124" t="s">
        <v>66</v>
      </c>
      <c r="D37" s="126">
        <v>3.43</v>
      </c>
      <c r="E37" s="134">
        <v>88.37</v>
      </c>
    </row>
    <row r="38" spans="1:5">
      <c r="A38" s="124" t="s">
        <v>86</v>
      </c>
      <c r="B38" s="125" t="s">
        <v>157</v>
      </c>
      <c r="C38" s="124" t="s">
        <v>66</v>
      </c>
      <c r="D38" s="126">
        <v>2.62</v>
      </c>
      <c r="E38" s="134">
        <v>68.69</v>
      </c>
    </row>
    <row r="39" spans="1:5">
      <c r="A39" s="124" t="s">
        <v>464</v>
      </c>
      <c r="B39" s="125" t="s">
        <v>157</v>
      </c>
      <c r="C39" s="124" t="s">
        <v>66</v>
      </c>
      <c r="D39" s="126">
        <v>0.53</v>
      </c>
      <c r="E39" s="134">
        <v>12.8</v>
      </c>
    </row>
    <row r="40" spans="1:5">
      <c r="A40" s="140" t="s">
        <v>292</v>
      </c>
      <c r="B40" s="141" t="s">
        <v>157</v>
      </c>
      <c r="C40" s="140" t="s">
        <v>66</v>
      </c>
      <c r="D40" s="142">
        <v>13.7</v>
      </c>
      <c r="E40" s="143">
        <v>349.35</v>
      </c>
    </row>
    <row r="41" spans="1:5">
      <c r="A41" s="123" t="s">
        <v>429</v>
      </c>
      <c r="B41" s="132" t="s">
        <v>157</v>
      </c>
      <c r="C41" s="123" t="s">
        <v>66</v>
      </c>
      <c r="D41" s="133">
        <v>0.63</v>
      </c>
      <c r="E41" s="134">
        <v>16.63</v>
      </c>
    </row>
    <row r="42" spans="1:5">
      <c r="A42" s="140" t="s">
        <v>159</v>
      </c>
      <c r="B42" s="141" t="s">
        <v>157</v>
      </c>
      <c r="C42" s="140" t="s">
        <v>66</v>
      </c>
      <c r="D42" s="142">
        <v>12.43</v>
      </c>
      <c r="E42" s="143">
        <v>317.05</v>
      </c>
    </row>
    <row r="43" spans="1:5">
      <c r="A43" s="123" t="s">
        <v>407</v>
      </c>
      <c r="B43" s="132" t="s">
        <v>157</v>
      </c>
      <c r="C43" s="123" t="s">
        <v>66</v>
      </c>
      <c r="D43" s="133">
        <v>1.7</v>
      </c>
      <c r="E43" s="134">
        <v>42.51</v>
      </c>
    </row>
    <row r="44" spans="1:5">
      <c r="A44" s="140" t="s">
        <v>328</v>
      </c>
      <c r="B44" s="141" t="s">
        <v>157</v>
      </c>
      <c r="C44" s="140" t="s">
        <v>66</v>
      </c>
      <c r="D44" s="142">
        <v>42.27</v>
      </c>
      <c r="E44" s="143">
        <v>1153.8800000000001</v>
      </c>
    </row>
    <row r="45" spans="1:5">
      <c r="A45" s="123" t="s">
        <v>414</v>
      </c>
      <c r="B45" s="132" t="s">
        <v>157</v>
      </c>
      <c r="C45" s="123" t="s">
        <v>66</v>
      </c>
      <c r="D45" s="133">
        <v>2</v>
      </c>
      <c r="E45" s="134">
        <v>42.84</v>
      </c>
    </row>
    <row r="46" spans="1:5">
      <c r="A46" s="123" t="s">
        <v>458</v>
      </c>
      <c r="B46" s="132" t="s">
        <v>157</v>
      </c>
      <c r="C46" s="123" t="s">
        <v>66</v>
      </c>
      <c r="D46" s="133">
        <v>0.32</v>
      </c>
      <c r="E46" s="134">
        <v>8.08</v>
      </c>
    </row>
    <row r="47" spans="1:5">
      <c r="A47" s="140" t="s">
        <v>422</v>
      </c>
      <c r="B47" s="141" t="s">
        <v>157</v>
      </c>
      <c r="C47" s="140" t="s">
        <v>66</v>
      </c>
      <c r="D47" s="142">
        <v>17.399999999999999</v>
      </c>
      <c r="E47" s="143">
        <v>524.09</v>
      </c>
    </row>
    <row r="48" spans="1:5">
      <c r="A48" s="123" t="s">
        <v>79</v>
      </c>
      <c r="B48" s="132" t="s">
        <v>157</v>
      </c>
      <c r="C48" s="123" t="s">
        <v>66</v>
      </c>
      <c r="D48" s="123">
        <v>2.37</v>
      </c>
      <c r="E48" s="134">
        <v>59.07</v>
      </c>
    </row>
    <row r="49" spans="1:5">
      <c r="A49" s="123" t="s">
        <v>375</v>
      </c>
      <c r="B49" s="132" t="s">
        <v>157</v>
      </c>
      <c r="C49" s="123" t="s">
        <v>66</v>
      </c>
      <c r="D49" s="123">
        <v>2.17</v>
      </c>
      <c r="E49" s="134">
        <v>55.25</v>
      </c>
    </row>
    <row r="50" spans="1:5">
      <c r="A50" s="123" t="s">
        <v>161</v>
      </c>
      <c r="B50" s="132" t="s">
        <v>157</v>
      </c>
      <c r="C50" s="123" t="s">
        <v>66</v>
      </c>
      <c r="D50" s="123">
        <v>0.62</v>
      </c>
      <c r="E50" s="134">
        <v>15.39</v>
      </c>
    </row>
    <row r="51" spans="1:5">
      <c r="A51" s="127" t="s">
        <v>7</v>
      </c>
      <c r="B51" s="124"/>
      <c r="C51" s="124"/>
      <c r="D51" s="131">
        <f>SUM(D32:D50)</f>
        <v>115.40000000000002</v>
      </c>
      <c r="E51" s="135">
        <f>SUM(E32:E50)</f>
        <v>3088.7800000000007</v>
      </c>
    </row>
    <row r="52" spans="1:5">
      <c r="A52" s="127"/>
      <c r="B52" s="124"/>
      <c r="C52" s="124"/>
      <c r="D52" s="131"/>
      <c r="E52" s="135"/>
    </row>
    <row r="53" spans="1:5">
      <c r="A53" s="140" t="s">
        <v>163</v>
      </c>
      <c r="B53" s="141" t="s">
        <v>162</v>
      </c>
      <c r="C53" s="140" t="s">
        <v>51</v>
      </c>
      <c r="D53" s="142">
        <v>19.3</v>
      </c>
      <c r="E53" s="143">
        <v>636.9</v>
      </c>
    </row>
    <row r="54" spans="1:5">
      <c r="A54" s="127" t="s">
        <v>7</v>
      </c>
      <c r="B54" s="125"/>
      <c r="C54" s="124"/>
      <c r="D54" s="131">
        <f>SUM(D53:D53)</f>
        <v>19.3</v>
      </c>
      <c r="E54" s="135">
        <f>SUM(E53:E53)</f>
        <v>636.9</v>
      </c>
    </row>
    <row r="55" spans="1:5">
      <c r="A55" s="127"/>
      <c r="B55" s="124"/>
      <c r="C55" s="124"/>
      <c r="D55" s="131"/>
      <c r="E55" s="135"/>
    </row>
    <row r="56" spans="1:5">
      <c r="A56" s="140" t="s">
        <v>203</v>
      </c>
      <c r="B56" s="141" t="s">
        <v>164</v>
      </c>
      <c r="C56" s="140" t="s">
        <v>60</v>
      </c>
      <c r="D56" s="142">
        <v>23.88</v>
      </c>
      <c r="E56" s="143">
        <v>537.38</v>
      </c>
    </row>
    <row r="57" spans="1:5">
      <c r="A57" s="124" t="s">
        <v>432</v>
      </c>
      <c r="B57" s="125" t="s">
        <v>164</v>
      </c>
      <c r="C57" s="124" t="s">
        <v>60</v>
      </c>
      <c r="D57" s="126">
        <v>0.35</v>
      </c>
      <c r="E57" s="134">
        <v>7.88</v>
      </c>
    </row>
    <row r="58" spans="1:5">
      <c r="A58" s="140" t="s">
        <v>64</v>
      </c>
      <c r="B58" s="141" t="s">
        <v>164</v>
      </c>
      <c r="C58" s="140" t="s">
        <v>60</v>
      </c>
      <c r="D58" s="142">
        <v>17.850000000000001</v>
      </c>
      <c r="E58" s="143">
        <v>401.63</v>
      </c>
    </row>
    <row r="59" spans="1:5">
      <c r="A59" s="127" t="s">
        <v>7</v>
      </c>
      <c r="B59" s="124"/>
      <c r="C59" s="124"/>
      <c r="D59" s="131">
        <f>SUM(D56:D58)</f>
        <v>42.08</v>
      </c>
      <c r="E59" s="135">
        <f>SUM(E56:E58)</f>
        <v>946.89</v>
      </c>
    </row>
    <row r="60" spans="1:5">
      <c r="A60" s="127"/>
      <c r="B60" s="124"/>
      <c r="C60" s="124"/>
      <c r="D60" s="131"/>
      <c r="E60" s="135"/>
    </row>
    <row r="61" spans="1:5">
      <c r="A61" s="140" t="s">
        <v>479</v>
      </c>
      <c r="B61" s="141" t="s">
        <v>165</v>
      </c>
      <c r="C61" s="140" t="s">
        <v>465</v>
      </c>
      <c r="D61" s="142">
        <v>15.77</v>
      </c>
      <c r="E61" s="143">
        <v>402.05</v>
      </c>
    </row>
    <row r="62" spans="1:5">
      <c r="A62" s="124" t="s">
        <v>474</v>
      </c>
      <c r="B62" s="125" t="s">
        <v>165</v>
      </c>
      <c r="C62" s="124" t="s">
        <v>465</v>
      </c>
      <c r="D62" s="126">
        <v>3.08</v>
      </c>
      <c r="E62" s="134">
        <v>76.31</v>
      </c>
    </row>
    <row r="63" spans="1:5">
      <c r="A63" s="140" t="s">
        <v>372</v>
      </c>
      <c r="B63" s="141" t="s">
        <v>165</v>
      </c>
      <c r="C63" s="140" t="s">
        <v>465</v>
      </c>
      <c r="D63" s="142">
        <v>7.43</v>
      </c>
      <c r="E63" s="143">
        <v>178.4</v>
      </c>
    </row>
    <row r="64" spans="1:5">
      <c r="A64" s="124" t="s">
        <v>412</v>
      </c>
      <c r="B64" s="125" t="s">
        <v>165</v>
      </c>
      <c r="C64" s="124" t="s">
        <v>465</v>
      </c>
      <c r="D64" s="126">
        <v>1.1499999999999999</v>
      </c>
      <c r="E64" s="134">
        <v>27.6</v>
      </c>
    </row>
    <row r="65" spans="1:5">
      <c r="A65" s="127" t="s">
        <v>7</v>
      </c>
      <c r="B65" s="125"/>
      <c r="C65" s="124"/>
      <c r="D65" s="131">
        <f>SUM(D61:D64)</f>
        <v>27.43</v>
      </c>
      <c r="E65" s="135">
        <f>SUM(E61:E64)</f>
        <v>684.36</v>
      </c>
    </row>
    <row r="66" spans="1:5">
      <c r="A66" s="127"/>
      <c r="B66" s="124"/>
      <c r="C66" s="124"/>
      <c r="D66" s="131"/>
      <c r="E66" s="135"/>
    </row>
    <row r="67" spans="1:5">
      <c r="A67" s="140" t="s">
        <v>345</v>
      </c>
      <c r="B67" s="141" t="s">
        <v>167</v>
      </c>
      <c r="C67" s="140" t="s">
        <v>54</v>
      </c>
      <c r="D67" s="142">
        <v>11</v>
      </c>
      <c r="E67" s="143">
        <v>297.5</v>
      </c>
    </row>
    <row r="68" spans="1:5">
      <c r="A68" s="124" t="s">
        <v>421</v>
      </c>
      <c r="B68" s="125" t="s">
        <v>167</v>
      </c>
      <c r="C68" s="124" t="s">
        <v>54</v>
      </c>
      <c r="D68" s="126">
        <v>3.13</v>
      </c>
      <c r="E68" s="134">
        <v>86.29</v>
      </c>
    </row>
    <row r="69" spans="1:5">
      <c r="A69" s="127" t="s">
        <v>7</v>
      </c>
      <c r="B69" s="125"/>
      <c r="C69" s="124"/>
      <c r="D69" s="131">
        <f>SUM(D67:D68)</f>
        <v>14.129999999999999</v>
      </c>
      <c r="E69" s="135">
        <f>SUM(E67:E68)</f>
        <v>383.79</v>
      </c>
    </row>
    <row r="70" spans="1:5">
      <c r="A70" s="127"/>
      <c r="B70" s="125"/>
      <c r="C70" s="124"/>
      <c r="D70" s="131"/>
      <c r="E70" s="135"/>
    </row>
    <row r="71" spans="1:5">
      <c r="A71" s="124" t="s">
        <v>480</v>
      </c>
      <c r="B71" s="125" t="s">
        <v>240</v>
      </c>
      <c r="C71" s="124" t="s">
        <v>241</v>
      </c>
      <c r="D71" s="126">
        <v>1.28</v>
      </c>
      <c r="E71" s="134">
        <v>41.64</v>
      </c>
    </row>
    <row r="72" spans="1:5">
      <c r="A72" s="127" t="s">
        <v>7</v>
      </c>
      <c r="B72" s="125"/>
      <c r="C72" s="124"/>
      <c r="D72" s="131">
        <f>SUM(D71)</f>
        <v>1.28</v>
      </c>
      <c r="E72" s="135">
        <f>SUM(E71)</f>
        <v>41.64</v>
      </c>
    </row>
    <row r="73" spans="1:5">
      <c r="A73" s="127"/>
      <c r="B73" s="125"/>
      <c r="C73" s="124"/>
      <c r="D73" s="131"/>
      <c r="E73" s="135"/>
    </row>
    <row r="74" spans="1:5">
      <c r="A74" s="172" t="s">
        <v>459</v>
      </c>
      <c r="B74" s="173" t="s">
        <v>171</v>
      </c>
      <c r="C74" s="172" t="s">
        <v>25</v>
      </c>
      <c r="D74" s="174">
        <v>13.17</v>
      </c>
      <c r="E74" s="175">
        <v>373.79</v>
      </c>
    </row>
    <row r="75" spans="1:5">
      <c r="A75" s="124" t="s">
        <v>286</v>
      </c>
      <c r="B75" s="125" t="s">
        <v>171</v>
      </c>
      <c r="C75" s="124" t="s">
        <v>25</v>
      </c>
      <c r="D75" s="126">
        <v>0.52</v>
      </c>
      <c r="E75" s="134">
        <v>15.97</v>
      </c>
    </row>
    <row r="76" spans="1:5">
      <c r="A76" s="124" t="s">
        <v>436</v>
      </c>
      <c r="B76" s="125" t="s">
        <v>171</v>
      </c>
      <c r="C76" s="124" t="s">
        <v>25</v>
      </c>
      <c r="D76" s="126">
        <v>2.95</v>
      </c>
      <c r="E76" s="134">
        <v>91.16</v>
      </c>
    </row>
    <row r="77" spans="1:5">
      <c r="A77" s="124" t="s">
        <v>397</v>
      </c>
      <c r="B77" s="125" t="s">
        <v>171</v>
      </c>
      <c r="C77" s="124" t="s">
        <v>25</v>
      </c>
      <c r="D77" s="126">
        <v>1.73</v>
      </c>
      <c r="E77" s="134">
        <v>54.81</v>
      </c>
    </row>
    <row r="78" spans="1:5">
      <c r="A78" s="127" t="s">
        <v>7</v>
      </c>
      <c r="B78" s="124"/>
      <c r="C78" s="124"/>
      <c r="D78" s="131">
        <f>SUM(D74:D77)</f>
        <v>18.37</v>
      </c>
      <c r="E78" s="135">
        <f>SUM(E74:E77)</f>
        <v>535.73</v>
      </c>
    </row>
    <row r="79" spans="1:5">
      <c r="A79" s="127"/>
      <c r="B79" s="124"/>
      <c r="C79" s="124"/>
      <c r="D79" s="131"/>
      <c r="E79" s="135"/>
    </row>
    <row r="80" spans="1:5">
      <c r="A80" s="124" t="s">
        <v>394</v>
      </c>
      <c r="B80" s="125" t="s">
        <v>172</v>
      </c>
      <c r="C80" s="124" t="s">
        <v>348</v>
      </c>
      <c r="D80" s="126">
        <v>0.08</v>
      </c>
      <c r="E80" s="134">
        <v>3.09</v>
      </c>
    </row>
    <row r="81" spans="1:5">
      <c r="A81" s="124" t="s">
        <v>413</v>
      </c>
      <c r="B81" s="125" t="s">
        <v>172</v>
      </c>
      <c r="C81" s="124" t="s">
        <v>348</v>
      </c>
      <c r="D81" s="126">
        <v>1.25</v>
      </c>
      <c r="E81" s="134">
        <v>44.12</v>
      </c>
    </row>
    <row r="82" spans="1:5">
      <c r="A82" s="127" t="s">
        <v>7</v>
      </c>
      <c r="B82" s="124"/>
      <c r="C82" s="124"/>
      <c r="D82" s="131">
        <f>SUM(D80:D81)</f>
        <v>1.33</v>
      </c>
      <c r="E82" s="135">
        <f>SUM(E80:E81)</f>
        <v>47.209999999999994</v>
      </c>
    </row>
    <row r="83" spans="1:5">
      <c r="A83" s="127"/>
      <c r="B83" s="124"/>
      <c r="C83" s="124"/>
      <c r="D83" s="126"/>
      <c r="E83" s="134"/>
    </row>
    <row r="84" spans="1:5">
      <c r="A84" s="140" t="s">
        <v>37</v>
      </c>
      <c r="B84" s="140">
        <v>100051</v>
      </c>
      <c r="C84" s="140" t="s">
        <v>34</v>
      </c>
      <c r="D84" s="142">
        <v>15.87</v>
      </c>
      <c r="E84" s="143">
        <v>404.6</v>
      </c>
    </row>
    <row r="85" spans="1:5">
      <c r="A85" s="127" t="s">
        <v>7</v>
      </c>
      <c r="B85" s="124"/>
      <c r="C85" s="124"/>
      <c r="D85" s="131">
        <f>SUM(D84:D84)</f>
        <v>15.87</v>
      </c>
      <c r="E85" s="135">
        <f>SUM(E84:E84)</f>
        <v>404.6</v>
      </c>
    </row>
    <row r="86" spans="1:5">
      <c r="A86" s="127"/>
      <c r="B86" s="124"/>
      <c r="C86" s="124"/>
      <c r="D86" s="131"/>
      <c r="E86" s="135"/>
    </row>
    <row r="87" spans="1:5">
      <c r="A87" s="140" t="s">
        <v>282</v>
      </c>
      <c r="B87" s="140">
        <v>450044</v>
      </c>
      <c r="C87" s="140" t="s">
        <v>134</v>
      </c>
      <c r="D87" s="142">
        <v>15.32</v>
      </c>
      <c r="E87" s="143">
        <v>430.09</v>
      </c>
    </row>
    <row r="88" spans="1:5">
      <c r="A88" s="140" t="s">
        <v>369</v>
      </c>
      <c r="B88" s="140">
        <v>450044</v>
      </c>
      <c r="C88" s="140" t="s">
        <v>134</v>
      </c>
      <c r="D88" s="142">
        <v>11.35</v>
      </c>
      <c r="E88" s="143">
        <v>272.39999999999998</v>
      </c>
    </row>
    <row r="89" spans="1:5">
      <c r="A89" s="127" t="s">
        <v>7</v>
      </c>
      <c r="B89" s="124"/>
      <c r="C89" s="124"/>
      <c r="D89" s="131">
        <f>SUM(D87:D88)</f>
        <v>26.67</v>
      </c>
      <c r="E89" s="135">
        <f>SUM(E87:E88)</f>
        <v>702.49</v>
      </c>
    </row>
    <row r="90" spans="1:5">
      <c r="A90" s="127"/>
      <c r="B90" s="124"/>
      <c r="C90" s="124"/>
      <c r="D90" s="131"/>
      <c r="E90" s="135"/>
    </row>
    <row r="91" spans="1:5">
      <c r="A91" s="151" t="s">
        <v>427</v>
      </c>
      <c r="B91" s="151">
        <v>450045</v>
      </c>
      <c r="C91" s="151" t="s">
        <v>131</v>
      </c>
      <c r="D91" s="152">
        <v>5.03</v>
      </c>
      <c r="E91" s="153">
        <v>98.15</v>
      </c>
    </row>
    <row r="92" spans="1:5">
      <c r="A92" s="127" t="s">
        <v>7</v>
      </c>
      <c r="B92" s="124"/>
      <c r="C92" s="124"/>
      <c r="D92" s="131">
        <f>SUM(D91)</f>
        <v>5.03</v>
      </c>
      <c r="E92" s="135">
        <f>SUM(E91)</f>
        <v>98.15</v>
      </c>
    </row>
    <row r="93" spans="1:5">
      <c r="A93" s="127"/>
      <c r="B93" s="124"/>
      <c r="C93" s="124"/>
      <c r="D93" s="131"/>
      <c r="E93" s="135"/>
    </row>
    <row r="94" spans="1:5">
      <c r="A94" s="140" t="s">
        <v>41</v>
      </c>
      <c r="B94" s="140">
        <v>100052</v>
      </c>
      <c r="C94" s="140" t="s">
        <v>43</v>
      </c>
      <c r="D94" s="142">
        <v>12.83</v>
      </c>
      <c r="E94" s="143">
        <v>346.5</v>
      </c>
    </row>
    <row r="95" spans="1:5">
      <c r="A95" s="127" t="s">
        <v>7</v>
      </c>
      <c r="B95" s="124"/>
      <c r="C95" s="124"/>
      <c r="D95" s="131">
        <f>SUM(D94)</f>
        <v>12.83</v>
      </c>
      <c r="E95" s="135">
        <f>SUM(E94)</f>
        <v>346.5</v>
      </c>
    </row>
    <row r="96" spans="1:5">
      <c r="A96" s="127"/>
      <c r="B96" s="124"/>
      <c r="C96" s="124"/>
      <c r="D96" s="131"/>
      <c r="E96" s="135"/>
    </row>
    <row r="97" spans="1:5">
      <c r="A97" s="124" t="s">
        <v>475</v>
      </c>
      <c r="B97" s="124" t="s">
        <v>476</v>
      </c>
      <c r="C97" s="124" t="s">
        <v>477</v>
      </c>
      <c r="D97" s="126">
        <v>0.97</v>
      </c>
      <c r="E97" s="134">
        <v>34.86</v>
      </c>
    </row>
    <row r="98" spans="1:5">
      <c r="A98" s="127" t="s">
        <v>7</v>
      </c>
      <c r="B98" s="124"/>
      <c r="C98" s="124"/>
      <c r="D98" s="131">
        <f>SUM(D97)</f>
        <v>0.97</v>
      </c>
      <c r="E98" s="135">
        <f>SUM(E97)</f>
        <v>34.86</v>
      </c>
    </row>
    <row r="99" spans="1:5">
      <c r="A99" s="127"/>
      <c r="B99" s="124"/>
      <c r="C99" s="124"/>
      <c r="D99" s="131"/>
      <c r="E99" s="135"/>
    </row>
    <row r="100" spans="1:5">
      <c r="A100" s="122" t="s">
        <v>194</v>
      </c>
      <c r="D100" s="131">
        <v>318.97000000000003</v>
      </c>
      <c r="E100" s="135">
        <v>8523.76</v>
      </c>
    </row>
    <row r="101" spans="1:5">
      <c r="A101" s="127"/>
      <c r="B101" s="124"/>
      <c r="C101" s="124"/>
      <c r="D101" s="131"/>
      <c r="E101" s="135"/>
    </row>
    <row r="102" spans="1:5">
      <c r="A102" s="124"/>
      <c r="B102" s="124"/>
      <c r="C102" s="124"/>
      <c r="D102" s="126"/>
      <c r="E102" s="134"/>
    </row>
    <row r="103" spans="1:5">
      <c r="A103" s="124"/>
      <c r="B103" s="124"/>
      <c r="C103" s="124"/>
      <c r="D103" s="126"/>
      <c r="E103" s="134"/>
    </row>
    <row r="104" spans="1:5">
      <c r="A104" s="127"/>
      <c r="B104" s="124"/>
      <c r="C104" s="124"/>
      <c r="D104" s="131"/>
      <c r="E104" s="135"/>
    </row>
    <row r="105" spans="1:5">
      <c r="A105" s="127"/>
      <c r="B105" s="124"/>
      <c r="C105" s="124"/>
      <c r="D105" s="131"/>
      <c r="E105" s="135"/>
    </row>
    <row r="106" spans="1:5">
      <c r="A106" s="124"/>
      <c r="B106" s="124"/>
      <c r="C106" s="124"/>
      <c r="D106" s="126"/>
      <c r="E106" s="134"/>
    </row>
    <row r="107" spans="1:5">
      <c r="A107" s="127"/>
      <c r="B107" s="124"/>
      <c r="C107" s="124"/>
      <c r="D107" s="131"/>
      <c r="E107" s="135"/>
    </row>
    <row r="108" spans="1:5">
      <c r="A108" s="127"/>
      <c r="B108" s="124"/>
      <c r="C108" s="124"/>
      <c r="D108" s="131"/>
      <c r="E108" s="135"/>
    </row>
    <row r="109" spans="1:5">
      <c r="A109" s="124"/>
      <c r="B109" s="124"/>
      <c r="C109" s="124"/>
      <c r="D109" s="126"/>
      <c r="E109" s="134"/>
    </row>
    <row r="110" spans="1:5">
      <c r="A110" s="127"/>
      <c r="B110" s="124"/>
      <c r="C110" s="124"/>
      <c r="D110" s="131"/>
      <c r="E110" s="135"/>
    </row>
    <row r="111" spans="1:5">
      <c r="A111" s="127"/>
      <c r="B111" s="124"/>
      <c r="C111" s="124"/>
      <c r="D111" s="131"/>
      <c r="E111" s="135"/>
    </row>
    <row r="112" spans="1:5">
      <c r="A112" s="124"/>
      <c r="B112" s="124"/>
      <c r="C112" s="124"/>
      <c r="D112" s="126"/>
      <c r="E112" s="134"/>
    </row>
    <row r="113" spans="1:5">
      <c r="A113" s="124"/>
      <c r="B113" s="124"/>
      <c r="C113" s="124"/>
      <c r="D113" s="126"/>
      <c r="E113" s="134"/>
    </row>
    <row r="114" spans="1:5">
      <c r="A114" s="127"/>
      <c r="B114" s="124"/>
      <c r="C114" s="124"/>
      <c r="D114" s="131"/>
      <c r="E114" s="135"/>
    </row>
    <row r="115" spans="1:5">
      <c r="A115" s="127"/>
      <c r="B115" s="124"/>
      <c r="C115" s="124"/>
      <c r="D115" s="126"/>
      <c r="E115" s="134"/>
    </row>
    <row r="116" spans="1:5">
      <c r="A116" s="122"/>
      <c r="D116" s="131"/>
      <c r="E116" s="131"/>
    </row>
    <row r="117" spans="1:5">
      <c r="D117" s="131"/>
      <c r="E117" s="135"/>
    </row>
  </sheetData>
  <mergeCells count="1">
    <mergeCell ref="G4:K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97"/>
  <sheetViews>
    <sheetView topLeftCell="A3" workbookViewId="0">
      <selection activeCell="H38" sqref="H38"/>
    </sheetView>
  </sheetViews>
  <sheetFormatPr defaultRowHeight="12.75"/>
  <cols>
    <col min="1" max="1" width="19.42578125" bestFit="1" customWidth="1"/>
    <col min="2" max="2" width="23.140625" bestFit="1" customWidth="1"/>
    <col min="3" max="3" width="33.85546875" bestFit="1" customWidth="1"/>
    <col min="4" max="4" width="20.42578125" bestFit="1" customWidth="1"/>
    <col min="5" max="5" width="23.28515625" style="155" bestFit="1" customWidth="1"/>
    <col min="6" max="6" width="11.5703125" bestFit="1" customWidth="1"/>
    <col min="7" max="7" width="15.5703125" customWidth="1"/>
    <col min="8" max="8" width="17.28515625" bestFit="1" customWidth="1"/>
    <col min="9" max="9" width="14.85546875" customWidth="1"/>
    <col min="10" max="10" width="14.5703125" customWidth="1"/>
    <col min="11" max="11" width="11" customWidth="1"/>
  </cols>
  <sheetData>
    <row r="1" spans="1:11">
      <c r="A1" s="122" t="s">
        <v>147</v>
      </c>
      <c r="B1" s="122" t="s">
        <v>148</v>
      </c>
      <c r="C1" s="122" t="s">
        <v>149</v>
      </c>
      <c r="D1" s="122" t="s">
        <v>150</v>
      </c>
      <c r="E1" s="154" t="s">
        <v>151</v>
      </c>
      <c r="G1" s="38" t="s">
        <v>259</v>
      </c>
      <c r="H1" s="58" t="s">
        <v>334</v>
      </c>
      <c r="I1" s="40" t="s">
        <v>260</v>
      </c>
      <c r="J1" s="119" t="s">
        <v>262</v>
      </c>
      <c r="K1" s="39" t="s">
        <v>261</v>
      </c>
    </row>
    <row r="2" spans="1:11">
      <c r="A2" s="124" t="s">
        <v>366</v>
      </c>
      <c r="B2" s="125" t="s">
        <v>152</v>
      </c>
      <c r="C2" s="124" t="s">
        <v>15</v>
      </c>
      <c r="D2" s="126">
        <v>0.92</v>
      </c>
      <c r="E2" s="134">
        <v>24.56</v>
      </c>
      <c r="G2" s="13">
        <f>E32+E40+E42+E44+E47+E56+E58+E61+E63+E67+E84+E87+E88+E94</f>
        <v>2664.4400000000005</v>
      </c>
      <c r="H2" s="59">
        <f>E7</f>
        <v>265.37</v>
      </c>
      <c r="I2" s="66">
        <v>0</v>
      </c>
      <c r="J2" s="166">
        <f>E74</f>
        <v>0</v>
      </c>
      <c r="K2" s="16">
        <f>E91</f>
        <v>17.25</v>
      </c>
    </row>
    <row r="3" spans="1:11">
      <c r="A3" s="124" t="s">
        <v>468</v>
      </c>
      <c r="B3" s="125" t="s">
        <v>152</v>
      </c>
      <c r="C3" s="124" t="s">
        <v>15</v>
      </c>
      <c r="D3" s="126">
        <v>0.22</v>
      </c>
      <c r="E3" s="134">
        <v>6.66</v>
      </c>
      <c r="G3" s="18"/>
      <c r="I3" s="18"/>
      <c r="J3" s="18"/>
      <c r="K3" s="18"/>
    </row>
    <row r="4" spans="1:11">
      <c r="A4" s="124" t="s">
        <v>389</v>
      </c>
      <c r="B4" s="125" t="s">
        <v>152</v>
      </c>
      <c r="C4" s="124" t="s">
        <v>15</v>
      </c>
      <c r="D4" s="126">
        <v>1.92</v>
      </c>
      <c r="E4" s="134">
        <v>56.95</v>
      </c>
      <c r="G4" s="305" t="s">
        <v>263</v>
      </c>
      <c r="H4" s="305"/>
      <c r="I4" s="305"/>
      <c r="J4" s="305"/>
      <c r="K4" s="305"/>
    </row>
    <row r="5" spans="1:11">
      <c r="A5" s="124" t="s">
        <v>18</v>
      </c>
      <c r="B5" s="125" t="s">
        <v>152</v>
      </c>
      <c r="C5" s="124" t="s">
        <v>15</v>
      </c>
      <c r="D5" s="126">
        <v>4.03</v>
      </c>
      <c r="E5" s="134">
        <v>114.53</v>
      </c>
      <c r="H5" t="s">
        <v>461</v>
      </c>
    </row>
    <row r="6" spans="1:11" ht="15">
      <c r="A6" s="124" t="s">
        <v>434</v>
      </c>
      <c r="B6" s="124">
        <v>400020</v>
      </c>
      <c r="C6" s="124" t="s">
        <v>98</v>
      </c>
      <c r="D6" s="126">
        <v>0.03</v>
      </c>
      <c r="E6" s="134">
        <v>1.07</v>
      </c>
      <c r="H6" s="157" t="s">
        <v>454</v>
      </c>
    </row>
    <row r="7" spans="1:11" ht="15">
      <c r="A7" s="177" t="s">
        <v>377</v>
      </c>
      <c r="B7" s="177" t="s">
        <v>152</v>
      </c>
      <c r="C7" s="177" t="s">
        <v>15</v>
      </c>
      <c r="D7" s="183">
        <v>7.93</v>
      </c>
      <c r="E7" s="178">
        <v>265.37</v>
      </c>
      <c r="F7" s="184" t="s">
        <v>481</v>
      </c>
      <c r="H7" s="158" t="s">
        <v>455</v>
      </c>
    </row>
    <row r="8" spans="1:11">
      <c r="A8" s="124" t="s">
        <v>469</v>
      </c>
      <c r="B8" s="125" t="s">
        <v>152</v>
      </c>
      <c r="C8" s="124" t="s">
        <v>15</v>
      </c>
      <c r="D8" s="126">
        <v>0.38</v>
      </c>
      <c r="E8" s="134">
        <v>9.7799999999999994</v>
      </c>
    </row>
    <row r="9" spans="1:11">
      <c r="A9" s="123" t="s">
        <v>426</v>
      </c>
      <c r="B9" s="132" t="s">
        <v>178</v>
      </c>
      <c r="C9" s="123" t="s">
        <v>373</v>
      </c>
      <c r="D9" s="126">
        <v>0.53</v>
      </c>
      <c r="E9" s="134">
        <v>17.82</v>
      </c>
    </row>
    <row r="10" spans="1:11">
      <c r="A10" s="127" t="s">
        <v>7</v>
      </c>
      <c r="B10" s="124"/>
      <c r="C10" s="124"/>
      <c r="D10" s="131">
        <f>SUM(D2:D9)</f>
        <v>15.96</v>
      </c>
      <c r="E10" s="135">
        <f>SUM(E2:E9)</f>
        <v>496.73999999999995</v>
      </c>
    </row>
    <row r="11" spans="1:11">
      <c r="A11" s="127"/>
      <c r="B11" s="124"/>
      <c r="C11" s="124"/>
      <c r="D11" s="131"/>
      <c r="E11" s="135"/>
    </row>
    <row r="12" spans="1:11">
      <c r="A12" s="124" t="s">
        <v>470</v>
      </c>
      <c r="B12" s="125" t="s">
        <v>217</v>
      </c>
      <c r="C12" s="124" t="s">
        <v>218</v>
      </c>
      <c r="D12" s="126">
        <v>1.55</v>
      </c>
      <c r="E12" s="134">
        <v>44.71</v>
      </c>
    </row>
    <row r="13" spans="1:11">
      <c r="A13" s="127" t="s">
        <v>7</v>
      </c>
      <c r="B13" s="124"/>
      <c r="C13" s="124"/>
      <c r="D13" s="131">
        <f>SUM(D12)</f>
        <v>1.55</v>
      </c>
      <c r="E13" s="135">
        <f>SUM(E12)</f>
        <v>44.71</v>
      </c>
    </row>
    <row r="14" spans="1:11">
      <c r="A14" s="127"/>
      <c r="B14" s="124"/>
      <c r="C14" s="124"/>
      <c r="D14" s="131"/>
      <c r="E14" s="135"/>
    </row>
    <row r="15" spans="1:11">
      <c r="A15" s="124" t="s">
        <v>331</v>
      </c>
      <c r="B15" s="124">
        <v>400035</v>
      </c>
      <c r="C15" s="124" t="s">
        <v>101</v>
      </c>
      <c r="D15" s="126">
        <v>1.1200000000000001</v>
      </c>
      <c r="E15" s="134">
        <v>36.5</v>
      </c>
    </row>
    <row r="16" spans="1:11">
      <c r="A16" s="124" t="s">
        <v>307</v>
      </c>
      <c r="B16" s="124">
        <v>100035</v>
      </c>
      <c r="C16" s="124" t="s">
        <v>332</v>
      </c>
      <c r="D16" s="126">
        <v>2.63</v>
      </c>
      <c r="E16" s="134">
        <v>102.98</v>
      </c>
    </row>
    <row r="17" spans="1:7">
      <c r="A17" s="127" t="s">
        <v>7</v>
      </c>
      <c r="B17" s="124"/>
      <c r="C17" s="124"/>
      <c r="D17" s="131">
        <f>SUM(D15:D16)</f>
        <v>3.75</v>
      </c>
      <c r="E17" s="135">
        <f>SUM(E15:E16)</f>
        <v>139.48000000000002</v>
      </c>
    </row>
    <row r="18" spans="1:7">
      <c r="A18" s="127"/>
      <c r="B18" s="124"/>
      <c r="C18" s="124"/>
      <c r="D18" s="131"/>
      <c r="E18" s="135"/>
    </row>
    <row r="19" spans="1:7">
      <c r="A19" s="124" t="s">
        <v>20</v>
      </c>
      <c r="B19" s="125" t="s">
        <v>154</v>
      </c>
      <c r="C19" s="124" t="s">
        <v>23</v>
      </c>
      <c r="D19" s="126">
        <v>7.0000000000000007E-2</v>
      </c>
      <c r="E19" s="134">
        <v>2.02</v>
      </c>
    </row>
    <row r="20" spans="1:7">
      <c r="A20" s="127" t="s">
        <v>7</v>
      </c>
      <c r="B20" s="124"/>
      <c r="C20" s="124"/>
      <c r="D20" s="131">
        <f>SUM(D19)</f>
        <v>7.0000000000000007E-2</v>
      </c>
      <c r="E20" s="135">
        <f>SUM(E19)</f>
        <v>2.02</v>
      </c>
    </row>
    <row r="21" spans="1:7">
      <c r="A21" s="127"/>
      <c r="B21" s="125"/>
      <c r="C21" s="124"/>
      <c r="D21" s="131"/>
      <c r="E21" s="135"/>
    </row>
    <row r="22" spans="1:7">
      <c r="A22" s="124" t="s">
        <v>471</v>
      </c>
      <c r="B22" s="125" t="s">
        <v>155</v>
      </c>
      <c r="C22" s="124" t="s">
        <v>196</v>
      </c>
      <c r="D22" s="126">
        <v>0.62</v>
      </c>
      <c r="E22" s="134">
        <v>21.28</v>
      </c>
    </row>
    <row r="23" spans="1:7">
      <c r="A23" s="124" t="s">
        <v>415</v>
      </c>
      <c r="B23" s="125" t="s">
        <v>155</v>
      </c>
      <c r="C23" s="124" t="s">
        <v>196</v>
      </c>
      <c r="D23" s="126">
        <v>0.32</v>
      </c>
      <c r="E23" s="134">
        <v>10.48</v>
      </c>
    </row>
    <row r="24" spans="1:7">
      <c r="A24" s="127" t="s">
        <v>7</v>
      </c>
      <c r="B24" s="125"/>
      <c r="C24" s="124"/>
      <c r="D24" s="131">
        <f>SUM(D22:D23)</f>
        <v>0.94</v>
      </c>
      <c r="E24" s="135">
        <f>SUM(E22:E23)</f>
        <v>31.76</v>
      </c>
    </row>
    <row r="25" spans="1:7">
      <c r="A25" s="127"/>
      <c r="B25" s="125"/>
      <c r="C25" s="124"/>
      <c r="D25" s="131"/>
      <c r="E25" s="135"/>
    </row>
    <row r="26" spans="1:7">
      <c r="A26" s="140" t="s">
        <v>335</v>
      </c>
      <c r="B26" s="141" t="s">
        <v>156</v>
      </c>
      <c r="C26" s="140" t="s">
        <v>91</v>
      </c>
      <c r="D26" s="142">
        <v>7.28</v>
      </c>
      <c r="E26" s="143">
        <v>227.24</v>
      </c>
      <c r="F26" t="s">
        <v>481</v>
      </c>
    </row>
    <row r="27" spans="1:7">
      <c r="A27" s="124" t="s">
        <v>456</v>
      </c>
      <c r="B27" s="125" t="s">
        <v>156</v>
      </c>
      <c r="C27" s="124" t="s">
        <v>91</v>
      </c>
      <c r="D27" s="126">
        <v>0.05</v>
      </c>
      <c r="E27" s="134">
        <v>1.35</v>
      </c>
    </row>
    <row r="28" spans="1:7">
      <c r="A28" s="123" t="s">
        <v>417</v>
      </c>
      <c r="B28" s="132" t="s">
        <v>156</v>
      </c>
      <c r="C28" s="123" t="s">
        <v>91</v>
      </c>
      <c r="D28" s="126">
        <v>5.85</v>
      </c>
      <c r="E28" s="134">
        <f>13.65+146.06</f>
        <v>159.71</v>
      </c>
    </row>
    <row r="29" spans="1:7">
      <c r="A29" s="127" t="s">
        <v>7</v>
      </c>
      <c r="B29" s="124"/>
      <c r="C29" s="124"/>
      <c r="D29" s="131">
        <f>SUM(D26:D28)</f>
        <v>13.18</v>
      </c>
      <c r="E29" s="135">
        <f>SUM(E26:E28)</f>
        <v>388.3</v>
      </c>
    </row>
    <row r="30" spans="1:7">
      <c r="A30" s="124"/>
      <c r="B30" s="124"/>
      <c r="C30" s="124"/>
      <c r="D30" s="126"/>
      <c r="E30" s="134"/>
    </row>
    <row r="31" spans="1:7">
      <c r="A31" s="140" t="s">
        <v>391</v>
      </c>
      <c r="B31" s="141" t="s">
        <v>157</v>
      </c>
      <c r="C31" s="140" t="s">
        <v>66</v>
      </c>
      <c r="D31" s="142">
        <v>6.95</v>
      </c>
      <c r="E31" s="143">
        <v>177.23</v>
      </c>
      <c r="F31" t="s">
        <v>481</v>
      </c>
      <c r="G31" t="s">
        <v>482</v>
      </c>
    </row>
    <row r="32" spans="1:7">
      <c r="A32" s="140" t="s">
        <v>478</v>
      </c>
      <c r="B32" s="141" t="s">
        <v>157</v>
      </c>
      <c r="C32" s="140" t="s">
        <v>66</v>
      </c>
      <c r="D32" s="142">
        <v>4.17</v>
      </c>
      <c r="E32" s="143">
        <v>100</v>
      </c>
      <c r="F32" t="s">
        <v>481</v>
      </c>
    </row>
    <row r="33" spans="1:6">
      <c r="A33" s="140" t="s">
        <v>228</v>
      </c>
      <c r="B33" s="141" t="s">
        <v>157</v>
      </c>
      <c r="C33" s="140" t="s">
        <v>66</v>
      </c>
      <c r="D33" s="142">
        <v>7.25</v>
      </c>
      <c r="E33" s="143">
        <v>186.62</v>
      </c>
      <c r="F33" t="s">
        <v>481</v>
      </c>
    </row>
    <row r="34" spans="1:6">
      <c r="A34" s="124" t="s">
        <v>267</v>
      </c>
      <c r="B34" s="125" t="s">
        <v>157</v>
      </c>
      <c r="C34" s="124" t="s">
        <v>66</v>
      </c>
      <c r="D34" s="126">
        <v>0.4</v>
      </c>
      <c r="E34" s="134">
        <v>10.3</v>
      </c>
    </row>
    <row r="35" spans="1:6">
      <c r="A35" s="140" t="s">
        <v>464</v>
      </c>
      <c r="B35" s="141" t="s">
        <v>157</v>
      </c>
      <c r="C35" s="140" t="s">
        <v>66</v>
      </c>
      <c r="D35" s="142">
        <v>5.97</v>
      </c>
      <c r="E35" s="143">
        <v>143.19999999999999</v>
      </c>
      <c r="F35" t="s">
        <v>481</v>
      </c>
    </row>
    <row r="36" spans="1:6">
      <c r="A36" s="148" t="s">
        <v>292</v>
      </c>
      <c r="B36" s="149" t="s">
        <v>157</v>
      </c>
      <c r="C36" s="148" t="s">
        <v>66</v>
      </c>
      <c r="D36" s="150">
        <v>4.22</v>
      </c>
      <c r="E36" s="143">
        <v>107.53</v>
      </c>
      <c r="F36" t="s">
        <v>481</v>
      </c>
    </row>
    <row r="37" spans="1:6">
      <c r="A37" s="123" t="s">
        <v>429</v>
      </c>
      <c r="B37" s="132" t="s">
        <v>157</v>
      </c>
      <c r="C37" s="123" t="s">
        <v>66</v>
      </c>
      <c r="D37" s="133">
        <v>2.5499999999999998</v>
      </c>
      <c r="E37" s="134">
        <v>66.94</v>
      </c>
    </row>
    <row r="38" spans="1:6">
      <c r="A38" s="148" t="s">
        <v>159</v>
      </c>
      <c r="B38" s="149" t="s">
        <v>157</v>
      </c>
      <c r="C38" s="148" t="s">
        <v>66</v>
      </c>
      <c r="D38" s="150">
        <v>11.53</v>
      </c>
      <c r="E38" s="143">
        <v>294.10000000000002</v>
      </c>
      <c r="F38" t="s">
        <v>481</v>
      </c>
    </row>
    <row r="39" spans="1:6">
      <c r="A39" s="123" t="s">
        <v>407</v>
      </c>
      <c r="B39" s="132" t="s">
        <v>157</v>
      </c>
      <c r="C39" s="123" t="s">
        <v>66</v>
      </c>
      <c r="D39" s="133">
        <v>1.95</v>
      </c>
      <c r="E39" s="134">
        <v>48.76</v>
      </c>
    </row>
    <row r="40" spans="1:6">
      <c r="A40" s="148" t="s">
        <v>328</v>
      </c>
      <c r="B40" s="149" t="s">
        <v>157</v>
      </c>
      <c r="C40" s="148" t="s">
        <v>66</v>
      </c>
      <c r="D40" s="150">
        <v>16.97</v>
      </c>
      <c r="E40" s="143">
        <v>463.19</v>
      </c>
      <c r="F40" t="s">
        <v>481</v>
      </c>
    </row>
    <row r="41" spans="1:6">
      <c r="A41" s="148" t="s">
        <v>458</v>
      </c>
      <c r="B41" s="149" t="s">
        <v>157</v>
      </c>
      <c r="C41" s="148" t="s">
        <v>66</v>
      </c>
      <c r="D41" s="150">
        <v>6.77</v>
      </c>
      <c r="E41" s="143">
        <v>172.55</v>
      </c>
      <c r="F41" t="s">
        <v>481</v>
      </c>
    </row>
    <row r="42" spans="1:6">
      <c r="A42" s="140" t="s">
        <v>422</v>
      </c>
      <c r="B42" s="141" t="s">
        <v>157</v>
      </c>
      <c r="C42" s="140" t="s">
        <v>66</v>
      </c>
      <c r="D42" s="142">
        <v>5.68</v>
      </c>
      <c r="E42" s="143">
        <v>171.18</v>
      </c>
      <c r="F42" t="s">
        <v>481</v>
      </c>
    </row>
    <row r="43" spans="1:6">
      <c r="A43" s="148" t="s">
        <v>79</v>
      </c>
      <c r="B43" s="149" t="s">
        <v>157</v>
      </c>
      <c r="C43" s="148" t="s">
        <v>66</v>
      </c>
      <c r="D43" s="148">
        <v>5.38</v>
      </c>
      <c r="E43" s="143">
        <v>134.37</v>
      </c>
      <c r="F43" t="s">
        <v>481</v>
      </c>
    </row>
    <row r="44" spans="1:6">
      <c r="A44" s="148" t="s">
        <v>483</v>
      </c>
      <c r="B44" s="149" t="s">
        <v>157</v>
      </c>
      <c r="C44" s="148" t="s">
        <v>66</v>
      </c>
      <c r="D44" s="148">
        <v>5.48</v>
      </c>
      <c r="E44" s="143">
        <v>131.6</v>
      </c>
      <c r="F44" t="s">
        <v>481</v>
      </c>
    </row>
    <row r="45" spans="1:6">
      <c r="A45" s="148" t="s">
        <v>375</v>
      </c>
      <c r="B45" s="149" t="s">
        <v>157</v>
      </c>
      <c r="C45" s="148" t="s">
        <v>66</v>
      </c>
      <c r="D45" s="148">
        <v>5.95</v>
      </c>
      <c r="E45" s="143">
        <v>151.72999999999999</v>
      </c>
      <c r="F45" t="s">
        <v>481</v>
      </c>
    </row>
    <row r="46" spans="1:6">
      <c r="A46" s="127" t="s">
        <v>7</v>
      </c>
      <c r="B46" s="124"/>
      <c r="C46" s="124"/>
      <c r="D46" s="131">
        <f>SUM(D31:D45)</f>
        <v>91.22</v>
      </c>
      <c r="E46" s="135">
        <f>SUM(E31:E45)</f>
        <v>2359.3000000000002</v>
      </c>
    </row>
    <row r="47" spans="1:6">
      <c r="A47" s="127"/>
      <c r="B47" s="124"/>
      <c r="C47" s="124"/>
      <c r="D47" s="131"/>
      <c r="E47" s="135"/>
    </row>
    <row r="48" spans="1:6">
      <c r="A48" s="140" t="s">
        <v>163</v>
      </c>
      <c r="B48" s="141" t="s">
        <v>162</v>
      </c>
      <c r="C48" s="140" t="s">
        <v>51</v>
      </c>
      <c r="D48" s="142">
        <v>19.52</v>
      </c>
      <c r="E48" s="143">
        <v>644.04999999999995</v>
      </c>
      <c r="F48" t="s">
        <v>481</v>
      </c>
    </row>
    <row r="49" spans="1:6">
      <c r="A49" s="127" t="s">
        <v>7</v>
      </c>
      <c r="B49" s="125"/>
      <c r="C49" s="124"/>
      <c r="D49" s="131">
        <f>SUM(D48:D48)</f>
        <v>19.52</v>
      </c>
      <c r="E49" s="135">
        <f>SUM(E48:E48)</f>
        <v>644.04999999999995</v>
      </c>
    </row>
    <row r="50" spans="1:6">
      <c r="A50" s="127"/>
      <c r="B50" s="124"/>
      <c r="C50" s="124"/>
      <c r="D50" s="131"/>
      <c r="E50" s="135"/>
    </row>
    <row r="51" spans="1:6">
      <c r="A51" s="124" t="s">
        <v>64</v>
      </c>
      <c r="B51" s="125" t="s">
        <v>164</v>
      </c>
      <c r="C51" s="124" t="s">
        <v>60</v>
      </c>
      <c r="D51" s="126">
        <v>0.5</v>
      </c>
      <c r="E51" s="134">
        <v>11.25</v>
      </c>
    </row>
    <row r="52" spans="1:6">
      <c r="A52" s="127" t="s">
        <v>7</v>
      </c>
      <c r="B52" s="124"/>
      <c r="C52" s="124"/>
      <c r="D52" s="131">
        <f>SUM(D51:D51)</f>
        <v>0.5</v>
      </c>
      <c r="E52" s="135">
        <f>SUM(E51:E51)</f>
        <v>11.25</v>
      </c>
    </row>
    <row r="53" spans="1:6">
      <c r="A53" s="127"/>
      <c r="B53" s="124"/>
      <c r="C53" s="124"/>
      <c r="D53" s="131"/>
      <c r="E53" s="135"/>
    </row>
    <row r="54" spans="1:6">
      <c r="A54" s="140" t="s">
        <v>479</v>
      </c>
      <c r="B54" s="141" t="s">
        <v>165</v>
      </c>
      <c r="C54" s="140" t="s">
        <v>465</v>
      </c>
      <c r="D54" s="142">
        <v>8.3699999999999992</v>
      </c>
      <c r="E54" s="143">
        <v>213.35</v>
      </c>
      <c r="F54" t="s">
        <v>481</v>
      </c>
    </row>
    <row r="55" spans="1:6">
      <c r="A55" s="140" t="s">
        <v>474</v>
      </c>
      <c r="B55" s="141" t="s">
        <v>165</v>
      </c>
      <c r="C55" s="140" t="s">
        <v>465</v>
      </c>
      <c r="D55" s="142">
        <v>14.48</v>
      </c>
      <c r="E55" s="143">
        <v>358.46</v>
      </c>
      <c r="F55" t="s">
        <v>481</v>
      </c>
    </row>
    <row r="56" spans="1:6">
      <c r="A56" s="124" t="s">
        <v>372</v>
      </c>
      <c r="B56" s="125" t="s">
        <v>165</v>
      </c>
      <c r="C56" s="124" t="s">
        <v>465</v>
      </c>
      <c r="D56" s="126">
        <v>0.1</v>
      </c>
      <c r="E56" s="134">
        <v>2.4</v>
      </c>
    </row>
    <row r="57" spans="1:6">
      <c r="A57" s="140" t="s">
        <v>412</v>
      </c>
      <c r="B57" s="141" t="s">
        <v>165</v>
      </c>
      <c r="C57" s="140" t="s">
        <v>465</v>
      </c>
      <c r="D57" s="142">
        <v>9.07</v>
      </c>
      <c r="E57" s="143">
        <v>217.6</v>
      </c>
      <c r="F57" t="s">
        <v>481</v>
      </c>
    </row>
    <row r="58" spans="1:6">
      <c r="A58" s="127" t="s">
        <v>7</v>
      </c>
      <c r="B58" s="125"/>
      <c r="C58" s="124"/>
      <c r="D58" s="131">
        <f>SUM(D54:D57)</f>
        <v>32.020000000000003</v>
      </c>
      <c r="E58" s="135">
        <f>SUM(E54:E57)</f>
        <v>791.81</v>
      </c>
    </row>
    <row r="59" spans="1:6">
      <c r="A59" s="127"/>
      <c r="B59" s="124"/>
      <c r="C59" s="124"/>
      <c r="D59" s="131"/>
      <c r="E59" s="135"/>
    </row>
    <row r="60" spans="1:6">
      <c r="A60" s="140" t="s">
        <v>345</v>
      </c>
      <c r="B60" s="141" t="s">
        <v>167</v>
      </c>
      <c r="C60" s="140" t="s">
        <v>54</v>
      </c>
      <c r="D60" s="142">
        <v>11.34</v>
      </c>
      <c r="E60" s="143">
        <v>306.51</v>
      </c>
      <c r="F60" t="s">
        <v>481</v>
      </c>
    </row>
    <row r="61" spans="1:6">
      <c r="A61" s="124" t="s">
        <v>484</v>
      </c>
      <c r="B61" s="125" t="s">
        <v>167</v>
      </c>
      <c r="C61" s="124" t="s">
        <v>54</v>
      </c>
      <c r="D61" s="126">
        <v>0.17</v>
      </c>
      <c r="E61" s="134">
        <v>4.25</v>
      </c>
    </row>
    <row r="62" spans="1:6">
      <c r="A62" s="127" t="s">
        <v>7</v>
      </c>
      <c r="B62" s="125"/>
      <c r="C62" s="124"/>
      <c r="D62" s="131">
        <f>SUM(D60:D61)</f>
        <v>11.51</v>
      </c>
      <c r="E62" s="135">
        <f>SUM(E60:E61)</f>
        <v>310.76</v>
      </c>
    </row>
    <row r="63" spans="1:6">
      <c r="A63" s="127"/>
      <c r="B63" s="125"/>
      <c r="C63" s="124"/>
      <c r="D63" s="131"/>
      <c r="E63" s="135"/>
    </row>
    <row r="64" spans="1:6">
      <c r="A64" s="124" t="s">
        <v>480</v>
      </c>
      <c r="B64" s="125" t="s">
        <v>240</v>
      </c>
      <c r="C64" s="124" t="s">
        <v>241</v>
      </c>
      <c r="D64" s="126">
        <v>1.82</v>
      </c>
      <c r="E64" s="134">
        <v>58.94</v>
      </c>
    </row>
    <row r="65" spans="1:7">
      <c r="A65" s="127" t="s">
        <v>7</v>
      </c>
      <c r="B65" s="125"/>
      <c r="C65" s="124"/>
      <c r="D65" s="131">
        <f>SUM(D64)</f>
        <v>1.82</v>
      </c>
      <c r="E65" s="135">
        <f>SUM(E64)</f>
        <v>58.94</v>
      </c>
    </row>
    <row r="66" spans="1:7">
      <c r="A66" s="127"/>
      <c r="B66" s="125"/>
      <c r="C66" s="124"/>
      <c r="D66" s="131"/>
      <c r="E66" s="135"/>
    </row>
    <row r="67" spans="1:7">
      <c r="A67" s="179" t="s">
        <v>459</v>
      </c>
      <c r="B67" s="180" t="s">
        <v>171</v>
      </c>
      <c r="C67" s="179" t="s">
        <v>25</v>
      </c>
      <c r="D67" s="181">
        <v>19.920000000000002</v>
      </c>
      <c r="E67" s="182">
        <v>597.5</v>
      </c>
      <c r="F67" t="s">
        <v>481</v>
      </c>
      <c r="G67" t="s">
        <v>485</v>
      </c>
    </row>
    <row r="68" spans="1:7">
      <c r="A68" s="124" t="s">
        <v>286</v>
      </c>
      <c r="B68" s="125" t="s">
        <v>171</v>
      </c>
      <c r="C68" s="124" t="s">
        <v>25</v>
      </c>
      <c r="D68" s="126">
        <v>0.27</v>
      </c>
      <c r="E68" s="134">
        <v>8.24</v>
      </c>
    </row>
    <row r="69" spans="1:7">
      <c r="A69" s="124" t="s">
        <v>486</v>
      </c>
      <c r="B69" s="125" t="s">
        <v>171</v>
      </c>
      <c r="C69" s="124" t="s">
        <v>25</v>
      </c>
      <c r="D69" s="126">
        <v>3.4</v>
      </c>
      <c r="E69" s="134">
        <v>112.2</v>
      </c>
    </row>
    <row r="70" spans="1:7">
      <c r="A70" s="124" t="s">
        <v>487</v>
      </c>
      <c r="B70" s="125" t="s">
        <v>171</v>
      </c>
      <c r="C70" s="124" t="s">
        <v>25</v>
      </c>
      <c r="D70" s="126">
        <v>1.03</v>
      </c>
      <c r="E70" s="134">
        <v>34.880000000000003</v>
      </c>
    </row>
    <row r="71" spans="1:7">
      <c r="A71" s="124" t="s">
        <v>436</v>
      </c>
      <c r="B71" s="125" t="s">
        <v>171</v>
      </c>
      <c r="C71" s="124" t="s">
        <v>25</v>
      </c>
      <c r="D71" s="126">
        <v>1.03</v>
      </c>
      <c r="E71" s="134">
        <v>31.93</v>
      </c>
    </row>
    <row r="72" spans="1:7">
      <c r="A72" s="124" t="s">
        <v>397</v>
      </c>
      <c r="B72" s="125" t="s">
        <v>171</v>
      </c>
      <c r="C72" s="124" t="s">
        <v>25</v>
      </c>
      <c r="D72" s="126">
        <v>0.25</v>
      </c>
      <c r="E72" s="134">
        <v>7.91</v>
      </c>
    </row>
    <row r="73" spans="1:7">
      <c r="A73" s="127" t="s">
        <v>7</v>
      </c>
      <c r="B73" s="124"/>
      <c r="C73" s="124"/>
      <c r="D73" s="131">
        <f>SUM(D67:D72)</f>
        <v>25.900000000000002</v>
      </c>
      <c r="E73" s="135">
        <f>SUM(E67:E72)</f>
        <v>792.66</v>
      </c>
    </row>
    <row r="74" spans="1:7">
      <c r="A74" s="127"/>
      <c r="B74" s="124"/>
      <c r="C74" s="124"/>
      <c r="D74" s="131"/>
      <c r="E74" s="135"/>
    </row>
    <row r="75" spans="1:7">
      <c r="A75" s="124" t="s">
        <v>394</v>
      </c>
      <c r="B75" s="125" t="s">
        <v>172</v>
      </c>
      <c r="C75" s="124" t="s">
        <v>348</v>
      </c>
      <c r="D75" s="126">
        <v>0.32</v>
      </c>
      <c r="E75" s="134">
        <v>11.74</v>
      </c>
    </row>
    <row r="76" spans="1:7">
      <c r="A76" s="124" t="s">
        <v>413</v>
      </c>
      <c r="B76" s="125" t="s">
        <v>172</v>
      </c>
      <c r="C76" s="124" t="s">
        <v>348</v>
      </c>
      <c r="D76" s="126">
        <v>0.13</v>
      </c>
      <c r="E76" s="134">
        <v>4.71</v>
      </c>
    </row>
    <row r="77" spans="1:7">
      <c r="A77" s="127" t="s">
        <v>7</v>
      </c>
      <c r="B77" s="124"/>
      <c r="C77" s="124"/>
      <c r="D77" s="131">
        <f>SUM(D75:D76)</f>
        <v>0.45</v>
      </c>
      <c r="E77" s="135">
        <f>SUM(E75:E76)</f>
        <v>16.45</v>
      </c>
    </row>
    <row r="78" spans="1:7">
      <c r="A78" s="127"/>
      <c r="B78" s="124"/>
      <c r="C78" s="124"/>
      <c r="D78" s="126"/>
      <c r="E78" s="134"/>
    </row>
    <row r="79" spans="1:7">
      <c r="A79" s="124" t="s">
        <v>215</v>
      </c>
      <c r="B79" s="124">
        <v>290051</v>
      </c>
      <c r="C79" s="124" t="s">
        <v>396</v>
      </c>
      <c r="D79" s="126">
        <v>0.25</v>
      </c>
      <c r="E79" s="134">
        <f>2.43+2.78</f>
        <v>5.21</v>
      </c>
    </row>
    <row r="80" spans="1:7">
      <c r="A80" s="124" t="s">
        <v>144</v>
      </c>
      <c r="B80" s="124">
        <v>290051</v>
      </c>
      <c r="C80" s="124" t="s">
        <v>396</v>
      </c>
      <c r="D80" s="126">
        <v>0.26</v>
      </c>
      <c r="E80" s="134">
        <v>6.24</v>
      </c>
    </row>
    <row r="81" spans="1:6">
      <c r="A81" s="124" t="s">
        <v>453</v>
      </c>
      <c r="B81" s="124">
        <v>290051</v>
      </c>
      <c r="C81" s="124" t="s">
        <v>396</v>
      </c>
      <c r="D81" s="126">
        <v>0.15</v>
      </c>
      <c r="E81" s="134">
        <v>3.13</v>
      </c>
    </row>
    <row r="82" spans="1:6">
      <c r="A82" s="127" t="s">
        <v>7</v>
      </c>
      <c r="B82" s="124"/>
      <c r="C82" s="124"/>
      <c r="D82" s="131">
        <f>SUM(D79:D81)</f>
        <v>0.66</v>
      </c>
      <c r="E82" s="135">
        <f>SUM(E79:E81)</f>
        <v>14.579999999999998</v>
      </c>
    </row>
    <row r="83" spans="1:6">
      <c r="A83" s="127"/>
      <c r="B83" s="124"/>
      <c r="C83" s="124"/>
      <c r="D83" s="131"/>
      <c r="E83" s="135"/>
    </row>
    <row r="84" spans="1:6">
      <c r="A84" s="151" t="s">
        <v>282</v>
      </c>
      <c r="B84" s="151">
        <v>450044</v>
      </c>
      <c r="C84" s="151" t="s">
        <v>134</v>
      </c>
      <c r="D84" s="152">
        <f>9.53+2.83</f>
        <v>12.36</v>
      </c>
      <c r="E84" s="153">
        <f>267.7+79.56</f>
        <v>347.26</v>
      </c>
      <c r="F84" t="s">
        <v>481</v>
      </c>
    </row>
    <row r="85" spans="1:6">
      <c r="A85" s="151" t="s">
        <v>369</v>
      </c>
      <c r="B85" s="151">
        <v>450044</v>
      </c>
      <c r="C85" s="151" t="s">
        <v>134</v>
      </c>
      <c r="D85" s="152">
        <v>12.17</v>
      </c>
      <c r="E85" s="153">
        <v>292</v>
      </c>
      <c r="F85" t="s">
        <v>481</v>
      </c>
    </row>
    <row r="86" spans="1:6">
      <c r="A86" s="127" t="s">
        <v>7</v>
      </c>
      <c r="B86" s="124"/>
      <c r="C86" s="124"/>
      <c r="D86" s="131">
        <f>SUM(D84:D85)</f>
        <v>24.53</v>
      </c>
      <c r="E86" s="135">
        <f>SUM(E84:E85)</f>
        <v>639.26</v>
      </c>
    </row>
    <row r="87" spans="1:6">
      <c r="A87" s="127"/>
      <c r="B87" s="124"/>
      <c r="C87" s="124"/>
      <c r="D87" s="131"/>
      <c r="E87" s="135"/>
    </row>
    <row r="88" spans="1:6">
      <c r="A88" s="124" t="s">
        <v>427</v>
      </c>
      <c r="B88" s="124">
        <v>450045</v>
      </c>
      <c r="C88" s="124" t="s">
        <v>131</v>
      </c>
      <c r="D88" s="126">
        <v>1.2</v>
      </c>
      <c r="E88" s="134">
        <v>23.4</v>
      </c>
    </row>
    <row r="89" spans="1:6">
      <c r="A89" s="127" t="s">
        <v>7</v>
      </c>
      <c r="B89" s="124"/>
      <c r="C89" s="124"/>
      <c r="D89" s="131">
        <f>SUM(D88)</f>
        <v>1.2</v>
      </c>
      <c r="E89" s="135">
        <f>SUM(E88)</f>
        <v>23.4</v>
      </c>
    </row>
    <row r="90" spans="1:6">
      <c r="A90" s="127"/>
      <c r="B90" s="124"/>
      <c r="C90" s="124"/>
      <c r="D90" s="131"/>
      <c r="E90" s="135"/>
    </row>
    <row r="91" spans="1:6">
      <c r="A91" s="124" t="s">
        <v>130</v>
      </c>
      <c r="B91" s="124">
        <v>450049</v>
      </c>
      <c r="C91" s="124" t="s">
        <v>129</v>
      </c>
      <c r="D91" s="126">
        <v>1</v>
      </c>
      <c r="E91" s="134">
        <v>17.25</v>
      </c>
    </row>
    <row r="92" spans="1:6">
      <c r="A92" s="127" t="s">
        <v>7</v>
      </c>
      <c r="B92" s="124"/>
      <c r="C92" s="124"/>
      <c r="D92" s="131">
        <f>SUM(D91)</f>
        <v>1</v>
      </c>
      <c r="E92" s="135">
        <f>SUM(E91)</f>
        <v>17.25</v>
      </c>
    </row>
    <row r="93" spans="1:6">
      <c r="A93" s="127"/>
      <c r="B93" s="124"/>
      <c r="C93" s="124"/>
      <c r="D93" s="131"/>
      <c r="E93" s="135"/>
    </row>
    <row r="94" spans="1:6">
      <c r="A94" s="124" t="s">
        <v>475</v>
      </c>
      <c r="B94" s="124" t="s">
        <v>476</v>
      </c>
      <c r="C94" s="124" t="s">
        <v>477</v>
      </c>
      <c r="D94" s="126">
        <v>0.88</v>
      </c>
      <c r="E94" s="134">
        <v>31.85</v>
      </c>
    </row>
    <row r="95" spans="1:6">
      <c r="A95" s="127" t="s">
        <v>7</v>
      </c>
      <c r="B95" s="124"/>
      <c r="C95" s="124"/>
      <c r="D95" s="131">
        <f>SUM(D94)</f>
        <v>0.88</v>
      </c>
      <c r="E95" s="135">
        <f>SUM(E94)</f>
        <v>31.85</v>
      </c>
    </row>
    <row r="96" spans="1:6">
      <c r="A96" s="127"/>
      <c r="B96" s="124"/>
      <c r="C96" s="124"/>
      <c r="D96" s="131"/>
      <c r="E96" s="135"/>
    </row>
    <row r="97" spans="1:5">
      <c r="A97" s="122" t="s">
        <v>194</v>
      </c>
      <c r="B97" s="123"/>
      <c r="C97" s="123"/>
      <c r="D97" s="131">
        <f>D95+D92+D89+D86+D82+D77+D73+D65+D62+D58+D52+D49+D46+D29+D24+D20+D17+D13+D10</f>
        <v>246.66</v>
      </c>
      <c r="E97" s="131">
        <f>E95+E92+E89+E86+E82+E77+E73+E65+E62+E58+E52+E49+E46+E29+E24+E20+E17+E13+E10</f>
        <v>6814.5700000000006</v>
      </c>
    </row>
  </sheetData>
  <mergeCells count="1">
    <mergeCell ref="G4:K4"/>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91"/>
  <sheetViews>
    <sheetView topLeftCell="B59" workbookViewId="0">
      <selection activeCell="G1" sqref="G1:K7"/>
    </sheetView>
  </sheetViews>
  <sheetFormatPr defaultRowHeight="12.75"/>
  <cols>
    <col min="1" max="1" width="19.42578125" bestFit="1" customWidth="1"/>
    <col min="2" max="2" width="23.140625" bestFit="1" customWidth="1"/>
    <col min="3" max="3" width="33.85546875" bestFit="1" customWidth="1"/>
    <col min="4" max="4" width="20.42578125" bestFit="1" customWidth="1"/>
    <col min="5" max="5" width="23.28515625" style="155" bestFit="1" customWidth="1"/>
    <col min="7" max="7" width="10.85546875" bestFit="1" customWidth="1"/>
    <col min="8" max="8" width="19" customWidth="1"/>
    <col min="9" max="9" width="11.7109375" customWidth="1"/>
    <col min="10" max="10" width="12.28515625" customWidth="1"/>
    <col min="11" max="11" width="16.7109375" customWidth="1"/>
  </cols>
  <sheetData>
    <row r="1" spans="1:11">
      <c r="A1" s="122" t="s">
        <v>147</v>
      </c>
      <c r="B1" s="122" t="s">
        <v>148</v>
      </c>
      <c r="C1" s="122" t="s">
        <v>149</v>
      </c>
      <c r="D1" s="122" t="s">
        <v>150</v>
      </c>
      <c r="E1" s="154" t="s">
        <v>151</v>
      </c>
      <c r="G1" s="38" t="s">
        <v>259</v>
      </c>
      <c r="H1" s="58" t="s">
        <v>334</v>
      </c>
      <c r="I1" s="40" t="s">
        <v>260</v>
      </c>
      <c r="J1" s="119" t="s">
        <v>262</v>
      </c>
      <c r="K1" s="39" t="s">
        <v>261</v>
      </c>
    </row>
    <row r="2" spans="1:11">
      <c r="A2" s="124" t="s">
        <v>366</v>
      </c>
      <c r="B2" s="125" t="s">
        <v>152</v>
      </c>
      <c r="C2" s="124" t="s">
        <v>15</v>
      </c>
      <c r="D2" s="126">
        <v>1.78</v>
      </c>
      <c r="E2" s="134">
        <v>47.78</v>
      </c>
      <c r="G2" s="13">
        <f>E27+E30+E32+E33+E35+E36+E37+E38+E39+E40+E42+E43+E44+E47+E57+E58+E77</f>
        <v>3178.2900000000004</v>
      </c>
      <c r="H2" s="59">
        <f>E5</f>
        <v>143.84</v>
      </c>
      <c r="I2" s="66">
        <v>0</v>
      </c>
      <c r="J2" s="166">
        <f>E64+E68</f>
        <v>947.56</v>
      </c>
      <c r="K2" s="16">
        <v>0</v>
      </c>
    </row>
    <row r="3" spans="1:11">
      <c r="A3" s="124" t="s">
        <v>389</v>
      </c>
      <c r="B3" s="125" t="s">
        <v>152</v>
      </c>
      <c r="C3" s="124" t="s">
        <v>15</v>
      </c>
      <c r="D3" s="126">
        <v>1.82</v>
      </c>
      <c r="E3" s="134">
        <v>53.98</v>
      </c>
      <c r="G3" s="18"/>
      <c r="I3" s="18"/>
      <c r="J3" s="18"/>
      <c r="K3" s="18"/>
    </row>
    <row r="4" spans="1:11">
      <c r="A4" s="124" t="s">
        <v>18</v>
      </c>
      <c r="B4" s="125" t="s">
        <v>152</v>
      </c>
      <c r="C4" s="124" t="s">
        <v>15</v>
      </c>
      <c r="D4" s="126">
        <v>2.68</v>
      </c>
      <c r="E4" s="134">
        <v>76.19</v>
      </c>
      <c r="G4" s="305" t="s">
        <v>263</v>
      </c>
      <c r="H4" s="305"/>
      <c r="I4" s="305"/>
      <c r="J4" s="305"/>
      <c r="K4" s="305"/>
    </row>
    <row r="5" spans="1:11">
      <c r="A5" s="185" t="s">
        <v>377</v>
      </c>
      <c r="B5" s="186" t="s">
        <v>152</v>
      </c>
      <c r="C5" s="185" t="s">
        <v>15</v>
      </c>
      <c r="D5" s="187">
        <v>4.3</v>
      </c>
      <c r="E5" s="188">
        <v>143.84</v>
      </c>
      <c r="F5" t="s">
        <v>481</v>
      </c>
      <c r="H5" t="s">
        <v>461</v>
      </c>
    </row>
    <row r="6" spans="1:11" ht="15">
      <c r="A6" s="124" t="s">
        <v>469</v>
      </c>
      <c r="B6" s="125" t="s">
        <v>152</v>
      </c>
      <c r="C6" s="124" t="s">
        <v>15</v>
      </c>
      <c r="D6" s="126">
        <v>0.33</v>
      </c>
      <c r="E6" s="134">
        <v>8.5</v>
      </c>
      <c r="H6" s="157" t="s">
        <v>454</v>
      </c>
    </row>
    <row r="7" spans="1:11" ht="15">
      <c r="A7" s="123" t="s">
        <v>426</v>
      </c>
      <c r="B7" s="132" t="s">
        <v>178</v>
      </c>
      <c r="C7" s="123" t="s">
        <v>373</v>
      </c>
      <c r="D7" s="126">
        <v>0.67</v>
      </c>
      <c r="E7" s="134">
        <v>22.28</v>
      </c>
      <c r="H7" s="158" t="s">
        <v>455</v>
      </c>
    </row>
    <row r="8" spans="1:11">
      <c r="A8" s="127" t="s">
        <v>7</v>
      </c>
      <c r="B8" s="124"/>
      <c r="C8" s="124"/>
      <c r="D8" s="131">
        <f>SUM(D2:D7)</f>
        <v>11.58</v>
      </c>
      <c r="E8" s="135">
        <f>SUM(E2:E7)</f>
        <v>352.56999999999994</v>
      </c>
    </row>
    <row r="9" spans="1:11">
      <c r="A9" s="127"/>
      <c r="B9" s="124"/>
      <c r="C9" s="124"/>
      <c r="D9" s="131"/>
      <c r="E9" s="135"/>
    </row>
    <row r="10" spans="1:11">
      <c r="A10" s="124" t="s">
        <v>470</v>
      </c>
      <c r="B10" s="125" t="s">
        <v>217</v>
      </c>
      <c r="C10" s="124" t="s">
        <v>218</v>
      </c>
      <c r="D10" s="126">
        <v>0.55000000000000004</v>
      </c>
      <c r="E10" s="134">
        <v>15.86</v>
      </c>
    </row>
    <row r="11" spans="1:11">
      <c r="A11" s="127" t="s">
        <v>7</v>
      </c>
      <c r="B11" s="124"/>
      <c r="C11" s="124"/>
      <c r="D11" s="131">
        <f>SUM(D10)</f>
        <v>0.55000000000000004</v>
      </c>
      <c r="E11" s="135">
        <f>SUM(E10)</f>
        <v>15.86</v>
      </c>
    </row>
    <row r="12" spans="1:11">
      <c r="A12" s="127"/>
      <c r="B12" s="124"/>
      <c r="C12" s="124"/>
      <c r="D12" s="131"/>
      <c r="E12" s="135"/>
    </row>
    <row r="13" spans="1:11">
      <c r="A13" s="124" t="s">
        <v>307</v>
      </c>
      <c r="B13" s="124">
        <v>100035</v>
      </c>
      <c r="C13" s="124" t="s">
        <v>332</v>
      </c>
      <c r="D13" s="126">
        <v>0.72</v>
      </c>
      <c r="E13" s="134">
        <v>28.03</v>
      </c>
    </row>
    <row r="14" spans="1:11">
      <c r="A14" s="127" t="s">
        <v>7</v>
      </c>
      <c r="B14" s="124"/>
      <c r="C14" s="124"/>
      <c r="D14" s="131">
        <f>SUM(D13:D13)</f>
        <v>0.72</v>
      </c>
      <c r="E14" s="135">
        <f>SUM(E13:E13)</f>
        <v>28.03</v>
      </c>
    </row>
    <row r="15" spans="1:11">
      <c r="A15" s="127"/>
      <c r="B15" s="124"/>
      <c r="C15" s="124"/>
      <c r="D15" s="131"/>
      <c r="E15" s="135"/>
    </row>
    <row r="16" spans="1:11">
      <c r="A16" s="124" t="s">
        <v>20</v>
      </c>
      <c r="B16" s="125" t="s">
        <v>154</v>
      </c>
      <c r="C16" s="124" t="s">
        <v>23</v>
      </c>
      <c r="D16" s="126">
        <v>0.98</v>
      </c>
      <c r="E16" s="134">
        <v>29.85</v>
      </c>
    </row>
    <row r="17" spans="1:8">
      <c r="A17" s="124" t="s">
        <v>488</v>
      </c>
      <c r="B17" s="125" t="s">
        <v>154</v>
      </c>
      <c r="C17" s="124" t="s">
        <v>23</v>
      </c>
      <c r="D17" s="126">
        <v>0.56999999999999995</v>
      </c>
      <c r="E17" s="134">
        <v>21.25</v>
      </c>
    </row>
    <row r="18" spans="1:8">
      <c r="A18" s="127" t="s">
        <v>7</v>
      </c>
      <c r="B18" s="124"/>
      <c r="C18" s="124"/>
      <c r="D18" s="131">
        <f>SUM(D16:D17)</f>
        <v>1.5499999999999998</v>
      </c>
      <c r="E18" s="135">
        <f>SUM(E16:E17)</f>
        <v>51.1</v>
      </c>
    </row>
    <row r="19" spans="1:8">
      <c r="A19" s="127"/>
      <c r="B19" s="125"/>
      <c r="C19" s="124"/>
      <c r="D19" s="131"/>
      <c r="E19" s="135"/>
    </row>
    <row r="20" spans="1:8">
      <c r="A20" s="124" t="s">
        <v>471</v>
      </c>
      <c r="B20" s="125" t="s">
        <v>155</v>
      </c>
      <c r="C20" s="124" t="s">
        <v>196</v>
      </c>
      <c r="D20" s="126">
        <v>1.5</v>
      </c>
      <c r="E20" s="134">
        <v>51.75</v>
      </c>
    </row>
    <row r="21" spans="1:8">
      <c r="A21" s="124" t="s">
        <v>415</v>
      </c>
      <c r="B21" s="125" t="s">
        <v>155</v>
      </c>
      <c r="C21" s="124" t="s">
        <v>196</v>
      </c>
      <c r="D21" s="126">
        <v>0.23</v>
      </c>
      <c r="E21" s="134">
        <v>7.72</v>
      </c>
    </row>
    <row r="22" spans="1:8">
      <c r="A22" s="124" t="s">
        <v>462</v>
      </c>
      <c r="B22" s="125" t="s">
        <v>155</v>
      </c>
      <c r="C22" s="124" t="s">
        <v>196</v>
      </c>
      <c r="D22" s="126">
        <v>1</v>
      </c>
      <c r="E22" s="134">
        <v>33.18</v>
      </c>
    </row>
    <row r="23" spans="1:8">
      <c r="A23" s="127" t="s">
        <v>7</v>
      </c>
      <c r="B23" s="125"/>
      <c r="C23" s="124"/>
      <c r="D23" s="131">
        <f>SUM(D20:D22)</f>
        <v>2.73</v>
      </c>
      <c r="E23" s="135">
        <f>SUM(E20:E22)</f>
        <v>92.65</v>
      </c>
    </row>
    <row r="24" spans="1:8">
      <c r="A24" s="127"/>
      <c r="B24" s="125"/>
      <c r="C24" s="124"/>
      <c r="D24" s="131"/>
      <c r="E24" s="135"/>
    </row>
    <row r="25" spans="1:8">
      <c r="A25" s="124" t="s">
        <v>14</v>
      </c>
      <c r="B25" s="125" t="s">
        <v>156</v>
      </c>
      <c r="C25" s="124" t="s">
        <v>91</v>
      </c>
      <c r="D25" s="126">
        <v>0.02</v>
      </c>
      <c r="E25" s="134">
        <v>0.55000000000000004</v>
      </c>
    </row>
    <row r="26" spans="1:8">
      <c r="A26" s="124" t="s">
        <v>335</v>
      </c>
      <c r="B26" s="125" t="s">
        <v>156</v>
      </c>
      <c r="C26" s="124" t="s">
        <v>91</v>
      </c>
      <c r="D26" s="126">
        <v>3.15</v>
      </c>
      <c r="E26" s="134">
        <v>98.28</v>
      </c>
    </row>
    <row r="27" spans="1:8">
      <c r="A27" s="148" t="s">
        <v>489</v>
      </c>
      <c r="B27" s="149" t="s">
        <v>156</v>
      </c>
      <c r="C27" s="148" t="s">
        <v>91</v>
      </c>
      <c r="D27" s="142">
        <v>8.6199999999999992</v>
      </c>
      <c r="E27" s="143">
        <v>235.24</v>
      </c>
      <c r="F27" t="s">
        <v>481</v>
      </c>
      <c r="H27" t="s">
        <v>490</v>
      </c>
    </row>
    <row r="28" spans="1:8">
      <c r="A28" s="127" t="s">
        <v>7</v>
      </c>
      <c r="B28" s="124"/>
      <c r="C28" s="124"/>
      <c r="D28" s="131">
        <f>SUM(D25:D27)</f>
        <v>11.79</v>
      </c>
      <c r="E28" s="135">
        <f>SUM(E25:E27)</f>
        <v>334.07</v>
      </c>
      <c r="H28" t="s">
        <v>491</v>
      </c>
    </row>
    <row r="29" spans="1:8">
      <c r="A29" s="124"/>
      <c r="B29" s="124"/>
      <c r="C29" s="124"/>
      <c r="D29" s="126"/>
      <c r="E29" s="134"/>
    </row>
    <row r="30" spans="1:8">
      <c r="A30" s="140" t="s">
        <v>391</v>
      </c>
      <c r="B30" s="141" t="s">
        <v>157</v>
      </c>
      <c r="C30" s="140" t="s">
        <v>66</v>
      </c>
      <c r="D30" s="142">
        <v>4</v>
      </c>
      <c r="E30" s="143">
        <v>108</v>
      </c>
      <c r="F30" t="s">
        <v>481</v>
      </c>
    </row>
    <row r="31" spans="1:8">
      <c r="A31" s="124" t="s">
        <v>492</v>
      </c>
      <c r="B31" s="125" t="s">
        <v>157</v>
      </c>
      <c r="C31" s="124" t="s">
        <v>66</v>
      </c>
      <c r="D31" s="126">
        <v>0.2</v>
      </c>
      <c r="E31" s="134">
        <v>4.8</v>
      </c>
    </row>
    <row r="32" spans="1:8">
      <c r="A32" s="140" t="s">
        <v>228</v>
      </c>
      <c r="B32" s="141" t="s">
        <v>157</v>
      </c>
      <c r="C32" s="140" t="s">
        <v>66</v>
      </c>
      <c r="D32" s="142">
        <v>10.33</v>
      </c>
      <c r="E32" s="143">
        <v>265.98</v>
      </c>
      <c r="F32" t="s">
        <v>481</v>
      </c>
    </row>
    <row r="33" spans="1:6">
      <c r="A33" s="140" t="s">
        <v>75</v>
      </c>
      <c r="B33" s="141" t="s">
        <v>157</v>
      </c>
      <c r="C33" s="140" t="s">
        <v>66</v>
      </c>
      <c r="D33" s="142">
        <v>8.7799999999999994</v>
      </c>
      <c r="E33" s="143">
        <v>243.74</v>
      </c>
      <c r="F33" t="s">
        <v>481</v>
      </c>
    </row>
    <row r="34" spans="1:6">
      <c r="A34" s="124" t="s">
        <v>472</v>
      </c>
      <c r="B34" s="125" t="s">
        <v>157</v>
      </c>
      <c r="C34" s="124" t="s">
        <v>66</v>
      </c>
      <c r="D34" s="126">
        <v>2.6</v>
      </c>
      <c r="E34" s="134">
        <v>62.4</v>
      </c>
    </row>
    <row r="35" spans="1:6">
      <c r="A35" s="140" t="s">
        <v>86</v>
      </c>
      <c r="B35" s="141" t="s">
        <v>157</v>
      </c>
      <c r="C35" s="140" t="s">
        <v>66</v>
      </c>
      <c r="D35" s="142">
        <v>5.68</v>
      </c>
      <c r="E35" s="143">
        <v>149.19</v>
      </c>
      <c r="F35" t="s">
        <v>481</v>
      </c>
    </row>
    <row r="36" spans="1:6">
      <c r="A36" s="140" t="s">
        <v>464</v>
      </c>
      <c r="B36" s="141" t="s">
        <v>157</v>
      </c>
      <c r="C36" s="140" t="s">
        <v>66</v>
      </c>
      <c r="D36" s="142">
        <v>7.85</v>
      </c>
      <c r="E36" s="143">
        <v>188.4</v>
      </c>
      <c r="F36" t="s">
        <v>481</v>
      </c>
    </row>
    <row r="37" spans="1:6">
      <c r="A37" s="148" t="s">
        <v>429</v>
      </c>
      <c r="B37" s="149" t="s">
        <v>157</v>
      </c>
      <c r="C37" s="148" t="s">
        <v>66</v>
      </c>
      <c r="D37" s="150">
        <v>7.77</v>
      </c>
      <c r="E37" s="143">
        <v>203.88</v>
      </c>
      <c r="F37" t="s">
        <v>481</v>
      </c>
    </row>
    <row r="38" spans="1:6">
      <c r="A38" s="148" t="s">
        <v>407</v>
      </c>
      <c r="B38" s="149" t="s">
        <v>157</v>
      </c>
      <c r="C38" s="148" t="s">
        <v>66</v>
      </c>
      <c r="D38" s="150">
        <v>4.82</v>
      </c>
      <c r="E38" s="143">
        <v>120.44</v>
      </c>
      <c r="F38" t="s">
        <v>481</v>
      </c>
    </row>
    <row r="39" spans="1:6">
      <c r="A39" s="148" t="s">
        <v>328</v>
      </c>
      <c r="B39" s="149" t="s">
        <v>157</v>
      </c>
      <c r="C39" s="148" t="s">
        <v>66</v>
      </c>
      <c r="D39" s="150">
        <v>10.119999999999999</v>
      </c>
      <c r="E39" s="143">
        <v>276.19</v>
      </c>
      <c r="F39" t="s">
        <v>481</v>
      </c>
    </row>
    <row r="40" spans="1:6">
      <c r="A40" s="148" t="s">
        <v>458</v>
      </c>
      <c r="B40" s="149" t="s">
        <v>157</v>
      </c>
      <c r="C40" s="148" t="s">
        <v>66</v>
      </c>
      <c r="D40" s="150">
        <v>8.7799999999999994</v>
      </c>
      <c r="E40" s="143">
        <v>223.98</v>
      </c>
      <c r="F40" t="s">
        <v>481</v>
      </c>
    </row>
    <row r="41" spans="1:6">
      <c r="A41" s="124" t="s">
        <v>422</v>
      </c>
      <c r="B41" s="125" t="s">
        <v>157</v>
      </c>
      <c r="C41" s="124" t="s">
        <v>66</v>
      </c>
      <c r="D41" s="126">
        <v>1.73</v>
      </c>
      <c r="E41" s="134">
        <v>52.21</v>
      </c>
    </row>
    <row r="42" spans="1:6">
      <c r="A42" s="148" t="s">
        <v>79</v>
      </c>
      <c r="B42" s="149" t="s">
        <v>157</v>
      </c>
      <c r="C42" s="148" t="s">
        <v>66</v>
      </c>
      <c r="D42" s="148">
        <v>4.3499999999999996</v>
      </c>
      <c r="E42" s="143">
        <v>108.58</v>
      </c>
      <c r="F42" t="s">
        <v>481</v>
      </c>
    </row>
    <row r="43" spans="1:6">
      <c r="A43" s="148" t="s">
        <v>483</v>
      </c>
      <c r="B43" s="149" t="s">
        <v>157</v>
      </c>
      <c r="C43" s="148" t="s">
        <v>66</v>
      </c>
      <c r="D43" s="148">
        <v>4.4800000000000004</v>
      </c>
      <c r="E43" s="143">
        <v>107.6</v>
      </c>
      <c r="F43" t="s">
        <v>481</v>
      </c>
    </row>
    <row r="44" spans="1:6">
      <c r="A44" s="148" t="s">
        <v>375</v>
      </c>
      <c r="B44" s="149" t="s">
        <v>157</v>
      </c>
      <c r="C44" s="148" t="s">
        <v>66</v>
      </c>
      <c r="D44" s="148">
        <v>5.92</v>
      </c>
      <c r="E44" s="143">
        <v>150.88</v>
      </c>
      <c r="F44" t="s">
        <v>481</v>
      </c>
    </row>
    <row r="45" spans="1:6">
      <c r="A45" s="127" t="s">
        <v>7</v>
      </c>
      <c r="B45" s="124"/>
      <c r="C45" s="124"/>
      <c r="D45" s="131">
        <f>SUM(D30:D44)</f>
        <v>87.410000000000011</v>
      </c>
      <c r="E45" s="135">
        <f>SUM(E30:E44)</f>
        <v>2266.27</v>
      </c>
    </row>
    <row r="46" spans="1:6">
      <c r="A46" s="127"/>
      <c r="B46" s="124"/>
      <c r="C46" s="124"/>
      <c r="D46" s="131"/>
      <c r="E46" s="135"/>
    </row>
    <row r="47" spans="1:6">
      <c r="A47" s="140" t="s">
        <v>163</v>
      </c>
      <c r="B47" s="141" t="s">
        <v>162</v>
      </c>
      <c r="C47" s="140" t="s">
        <v>51</v>
      </c>
      <c r="D47" s="142">
        <v>10.33</v>
      </c>
      <c r="E47" s="143">
        <v>341</v>
      </c>
      <c r="F47" t="s">
        <v>481</v>
      </c>
    </row>
    <row r="48" spans="1:6">
      <c r="A48" s="127" t="s">
        <v>7</v>
      </c>
      <c r="B48" s="125"/>
      <c r="C48" s="124"/>
      <c r="D48" s="131">
        <f>SUM(D47:D47)</f>
        <v>10.33</v>
      </c>
      <c r="E48" s="135">
        <f>SUM(E47:E47)</f>
        <v>341</v>
      </c>
    </row>
    <row r="49" spans="1:6">
      <c r="A49" s="127"/>
      <c r="B49" s="124"/>
      <c r="C49" s="124"/>
      <c r="D49" s="131"/>
      <c r="E49" s="135"/>
    </row>
    <row r="50" spans="1:6">
      <c r="A50" s="124" t="s">
        <v>64</v>
      </c>
      <c r="B50" s="125" t="s">
        <v>164</v>
      </c>
      <c r="C50" s="124" t="s">
        <v>60</v>
      </c>
      <c r="D50" s="126">
        <v>0.92</v>
      </c>
      <c r="E50" s="134">
        <v>20.63</v>
      </c>
    </row>
    <row r="51" spans="1:6">
      <c r="A51" s="127" t="s">
        <v>7</v>
      </c>
      <c r="B51" s="124"/>
      <c r="C51" s="124"/>
      <c r="D51" s="131">
        <f>SUM(D50:D50)</f>
        <v>0.92</v>
      </c>
      <c r="E51" s="135">
        <f>SUM(E50:E50)</f>
        <v>20.63</v>
      </c>
    </row>
    <row r="52" spans="1:6">
      <c r="A52" s="127"/>
      <c r="B52" s="124"/>
      <c r="C52" s="124"/>
      <c r="D52" s="131"/>
      <c r="E52" s="135"/>
    </row>
    <row r="53" spans="1:6">
      <c r="A53" s="124" t="s">
        <v>479</v>
      </c>
      <c r="B53" s="125" t="s">
        <v>165</v>
      </c>
      <c r="C53" s="124" t="s">
        <v>465</v>
      </c>
      <c r="D53" s="126">
        <v>0.02</v>
      </c>
      <c r="E53" s="134">
        <v>0.43</v>
      </c>
    </row>
    <row r="54" spans="1:6">
      <c r="A54" s="127" t="s">
        <v>7</v>
      </c>
      <c r="B54" s="125"/>
      <c r="C54" s="124"/>
      <c r="D54" s="131">
        <f>SUM(D53:D53)</f>
        <v>0.02</v>
      </c>
      <c r="E54" s="135">
        <f>SUM(E53:E53)</f>
        <v>0.43</v>
      </c>
    </row>
    <row r="55" spans="1:6">
      <c r="A55" s="127"/>
      <c r="B55" s="124"/>
      <c r="C55" s="124"/>
      <c r="D55" s="131"/>
      <c r="E55" s="135"/>
    </row>
    <row r="56" spans="1:6">
      <c r="A56" s="124" t="s">
        <v>345</v>
      </c>
      <c r="B56" s="125" t="s">
        <v>167</v>
      </c>
      <c r="C56" s="124" t="s">
        <v>54</v>
      </c>
      <c r="D56" s="126">
        <v>2.2799999999999998</v>
      </c>
      <c r="E56" s="134">
        <v>61.75</v>
      </c>
    </row>
    <row r="57" spans="1:6">
      <c r="A57" s="140" t="s">
        <v>292</v>
      </c>
      <c r="B57" s="141" t="s">
        <v>167</v>
      </c>
      <c r="C57" s="140" t="s">
        <v>54</v>
      </c>
      <c r="D57" s="142">
        <v>7.55</v>
      </c>
      <c r="E57" s="143">
        <v>192.53</v>
      </c>
      <c r="F57" t="s">
        <v>481</v>
      </c>
    </row>
    <row r="58" spans="1:6">
      <c r="A58" s="140" t="s">
        <v>159</v>
      </c>
      <c r="B58" s="141" t="s">
        <v>167</v>
      </c>
      <c r="C58" s="140" t="s">
        <v>54</v>
      </c>
      <c r="D58" s="142">
        <v>4.68</v>
      </c>
      <c r="E58" s="143">
        <v>119.43</v>
      </c>
      <c r="F58" t="s">
        <v>481</v>
      </c>
    </row>
    <row r="59" spans="1:6">
      <c r="A59" s="127" t="s">
        <v>7</v>
      </c>
      <c r="B59" s="125"/>
      <c r="C59" s="124"/>
      <c r="D59" s="131">
        <f>SUM(D56:D58)</f>
        <v>14.51</v>
      </c>
      <c r="E59" s="135">
        <f>SUM(E56:E58)</f>
        <v>373.71000000000004</v>
      </c>
    </row>
    <row r="60" spans="1:6">
      <c r="A60" s="127"/>
      <c r="B60" s="125"/>
      <c r="C60" s="124"/>
      <c r="D60" s="131"/>
      <c r="E60" s="135"/>
    </row>
    <row r="61" spans="1:6">
      <c r="A61" s="124" t="s">
        <v>480</v>
      </c>
      <c r="B61" s="125" t="s">
        <v>240</v>
      </c>
      <c r="C61" s="124" t="s">
        <v>241</v>
      </c>
      <c r="D61" s="126">
        <v>1.03</v>
      </c>
      <c r="E61" s="134">
        <v>33.53</v>
      </c>
    </row>
    <row r="62" spans="1:6">
      <c r="A62" s="127" t="s">
        <v>7</v>
      </c>
      <c r="B62" s="125"/>
      <c r="C62" s="124"/>
      <c r="D62" s="131">
        <f>SUM(D61)</f>
        <v>1.03</v>
      </c>
      <c r="E62" s="135">
        <f>SUM(E61)</f>
        <v>33.53</v>
      </c>
    </row>
    <row r="63" spans="1:6">
      <c r="A63" s="127"/>
      <c r="B63" s="125"/>
      <c r="C63" s="124"/>
      <c r="D63" s="131"/>
      <c r="E63" s="135"/>
    </row>
    <row r="64" spans="1:6">
      <c r="A64" s="189" t="s">
        <v>459</v>
      </c>
      <c r="B64" s="190" t="s">
        <v>171</v>
      </c>
      <c r="C64" s="189" t="s">
        <v>25</v>
      </c>
      <c r="D64" s="191">
        <v>9.3699999999999992</v>
      </c>
      <c r="E64" s="192">
        <v>281</v>
      </c>
      <c r="F64" t="s">
        <v>481</v>
      </c>
    </row>
    <row r="65" spans="1:6">
      <c r="A65" s="124" t="s">
        <v>493</v>
      </c>
      <c r="B65" s="125" t="s">
        <v>171</v>
      </c>
      <c r="C65" s="124" t="s">
        <v>25</v>
      </c>
      <c r="D65" s="126">
        <v>0.45</v>
      </c>
      <c r="E65" s="134">
        <v>14.18</v>
      </c>
    </row>
    <row r="66" spans="1:6">
      <c r="A66" s="124" t="s">
        <v>286</v>
      </c>
      <c r="B66" s="125" t="s">
        <v>171</v>
      </c>
      <c r="C66" s="124" t="s">
        <v>25</v>
      </c>
      <c r="D66" s="126">
        <v>2.25</v>
      </c>
      <c r="E66" s="134">
        <v>69.53</v>
      </c>
    </row>
    <row r="67" spans="1:6">
      <c r="A67" s="124" t="s">
        <v>486</v>
      </c>
      <c r="B67" s="125" t="s">
        <v>171</v>
      </c>
      <c r="C67" s="124" t="s">
        <v>25</v>
      </c>
      <c r="D67" s="126">
        <v>1.83</v>
      </c>
      <c r="E67" s="134">
        <v>60.5</v>
      </c>
    </row>
    <row r="68" spans="1:6">
      <c r="A68" s="189" t="s">
        <v>487</v>
      </c>
      <c r="B68" s="190" t="s">
        <v>171</v>
      </c>
      <c r="C68" s="189" t="s">
        <v>25</v>
      </c>
      <c r="D68" s="191">
        <v>19.75</v>
      </c>
      <c r="E68" s="192">
        <v>666.56</v>
      </c>
      <c r="F68" t="s">
        <v>481</v>
      </c>
    </row>
    <row r="69" spans="1:6">
      <c r="A69" s="124" t="s">
        <v>436</v>
      </c>
      <c r="B69" s="125" t="s">
        <v>171</v>
      </c>
      <c r="C69" s="124" t="s">
        <v>25</v>
      </c>
      <c r="D69" s="126">
        <v>0.6</v>
      </c>
      <c r="E69" s="134">
        <v>18.54</v>
      </c>
    </row>
    <row r="70" spans="1:6">
      <c r="A70" s="124" t="s">
        <v>397</v>
      </c>
      <c r="B70" s="125" t="s">
        <v>171</v>
      </c>
      <c r="C70" s="124" t="s">
        <v>25</v>
      </c>
      <c r="D70" s="126">
        <v>2.02</v>
      </c>
      <c r="E70" s="134">
        <v>63.77</v>
      </c>
    </row>
    <row r="71" spans="1:6">
      <c r="A71" s="127" t="s">
        <v>7</v>
      </c>
      <c r="B71" s="124"/>
      <c r="C71" s="124"/>
      <c r="D71" s="131">
        <f>SUM(D64:D70)</f>
        <v>36.270000000000003</v>
      </c>
      <c r="E71" s="135">
        <f>SUM(E64:E70)</f>
        <v>1174.08</v>
      </c>
    </row>
    <row r="72" spans="1:6">
      <c r="A72" s="127"/>
      <c r="B72" s="124"/>
      <c r="C72" s="124"/>
      <c r="D72" s="131"/>
      <c r="E72" s="135"/>
    </row>
    <row r="73" spans="1:6">
      <c r="A73" s="124" t="s">
        <v>494</v>
      </c>
      <c r="B73" s="125" t="s">
        <v>172</v>
      </c>
      <c r="C73" s="124" t="s">
        <v>348</v>
      </c>
      <c r="D73" s="126">
        <v>0.38</v>
      </c>
      <c r="E73" s="134">
        <v>14.95</v>
      </c>
    </row>
    <row r="74" spans="1:6">
      <c r="A74" s="124" t="s">
        <v>413</v>
      </c>
      <c r="B74" s="125" t="s">
        <v>172</v>
      </c>
      <c r="C74" s="124" t="s">
        <v>348</v>
      </c>
      <c r="D74" s="126">
        <v>0.25</v>
      </c>
      <c r="E74" s="134">
        <v>8.82</v>
      </c>
    </row>
    <row r="75" spans="1:6">
      <c r="A75" s="127" t="s">
        <v>7</v>
      </c>
      <c r="B75" s="124"/>
      <c r="C75" s="124"/>
      <c r="D75" s="131">
        <f>SUM(D73:D74)</f>
        <v>0.63</v>
      </c>
      <c r="E75" s="135">
        <f>SUM(E73:E74)</f>
        <v>23.77</v>
      </c>
    </row>
    <row r="76" spans="1:6">
      <c r="A76" s="127"/>
      <c r="B76" s="124"/>
      <c r="C76" s="124"/>
      <c r="D76" s="131"/>
      <c r="E76" s="135"/>
    </row>
    <row r="77" spans="1:6">
      <c r="A77" s="140" t="s">
        <v>37</v>
      </c>
      <c r="B77" s="141">
        <v>100051</v>
      </c>
      <c r="C77" s="140" t="s">
        <v>34</v>
      </c>
      <c r="D77" s="142">
        <v>5.62</v>
      </c>
      <c r="E77" s="143">
        <v>143.22999999999999</v>
      </c>
      <c r="F77" t="s">
        <v>481</v>
      </c>
    </row>
    <row r="78" spans="1:6">
      <c r="A78" s="124" t="s">
        <v>39</v>
      </c>
      <c r="B78" s="124">
        <v>100051</v>
      </c>
      <c r="C78" s="124" t="s">
        <v>34</v>
      </c>
      <c r="D78" s="126">
        <v>3.55</v>
      </c>
      <c r="E78" s="134">
        <f>38.36+49.5</f>
        <v>87.86</v>
      </c>
    </row>
    <row r="79" spans="1:6">
      <c r="A79" s="124" t="s">
        <v>41</v>
      </c>
      <c r="B79" s="124">
        <v>100051</v>
      </c>
      <c r="C79" s="124" t="s">
        <v>34</v>
      </c>
      <c r="D79" s="126">
        <f>1.33+0.25+2</f>
        <v>3.58</v>
      </c>
      <c r="E79" s="134">
        <f>36+6.75+54</f>
        <v>96.75</v>
      </c>
    </row>
    <row r="80" spans="1:6">
      <c r="A80" s="127" t="s">
        <v>7</v>
      </c>
      <c r="B80" s="124"/>
      <c r="C80" s="124"/>
      <c r="D80" s="131">
        <f>SUM(D77:D79)</f>
        <v>12.75</v>
      </c>
      <c r="E80" s="135">
        <f>SUM(E77:E79)</f>
        <v>327.84</v>
      </c>
    </row>
    <row r="81" spans="1:5">
      <c r="A81" s="127"/>
      <c r="B81" s="124"/>
      <c r="C81" s="124"/>
      <c r="D81" s="126"/>
      <c r="E81" s="134"/>
    </row>
    <row r="82" spans="1:5">
      <c r="A82" s="124" t="s">
        <v>73</v>
      </c>
      <c r="B82" s="124">
        <v>290051</v>
      </c>
      <c r="C82" s="124" t="s">
        <v>396</v>
      </c>
      <c r="D82" s="126">
        <v>0.33</v>
      </c>
      <c r="E82" s="134">
        <v>7.21</v>
      </c>
    </row>
    <row r="83" spans="1:5">
      <c r="A83" s="124" t="s">
        <v>215</v>
      </c>
      <c r="B83" s="124">
        <v>290051</v>
      </c>
      <c r="C83" s="124" t="s">
        <v>396</v>
      </c>
      <c r="D83" s="126">
        <v>0.2</v>
      </c>
      <c r="E83" s="134">
        <v>4.17</v>
      </c>
    </row>
    <row r="84" spans="1:5">
      <c r="A84" s="124" t="s">
        <v>144</v>
      </c>
      <c r="B84" s="124">
        <v>290051</v>
      </c>
      <c r="C84" s="124" t="s">
        <v>396</v>
      </c>
      <c r="D84" s="126">
        <v>0.5</v>
      </c>
      <c r="E84" s="134">
        <v>11.7</v>
      </c>
    </row>
    <row r="85" spans="1:5">
      <c r="A85" s="124" t="s">
        <v>453</v>
      </c>
      <c r="B85" s="124">
        <v>290051</v>
      </c>
      <c r="C85" s="124" t="s">
        <v>396</v>
      </c>
      <c r="D85" s="126">
        <v>0.22</v>
      </c>
      <c r="E85" s="134">
        <v>4.5199999999999996</v>
      </c>
    </row>
    <row r="86" spans="1:5">
      <c r="A86" s="127" t="s">
        <v>7</v>
      </c>
      <c r="B86" s="124"/>
      <c r="C86" s="124"/>
      <c r="D86" s="131">
        <f>SUM(D82:D85)</f>
        <v>1.25</v>
      </c>
      <c r="E86" s="135">
        <f>SUM(E82:E85)</f>
        <v>27.599999999999998</v>
      </c>
    </row>
    <row r="87" spans="1:5">
      <c r="A87" s="127"/>
      <c r="B87" s="124"/>
      <c r="C87" s="124"/>
      <c r="D87" s="131"/>
      <c r="E87" s="135"/>
    </row>
    <row r="88" spans="1:5">
      <c r="A88" s="124" t="s">
        <v>475</v>
      </c>
      <c r="B88" s="124" t="s">
        <v>476</v>
      </c>
      <c r="C88" s="124" t="s">
        <v>477</v>
      </c>
      <c r="D88" s="126">
        <v>0.9</v>
      </c>
      <c r="E88" s="134">
        <v>32.450000000000003</v>
      </c>
    </row>
    <row r="89" spans="1:5">
      <c r="A89" s="127" t="s">
        <v>7</v>
      </c>
      <c r="B89" s="124"/>
      <c r="C89" s="124"/>
      <c r="D89" s="131">
        <f>SUM(D88)</f>
        <v>0.9</v>
      </c>
      <c r="E89" s="135">
        <f>SUM(E88)</f>
        <v>32.450000000000003</v>
      </c>
    </row>
    <row r="90" spans="1:5">
      <c r="A90" s="127"/>
      <c r="B90" s="124"/>
      <c r="C90" s="124"/>
      <c r="D90" s="131"/>
      <c r="E90" s="135"/>
    </row>
    <row r="91" spans="1:5">
      <c r="A91" s="122" t="s">
        <v>194</v>
      </c>
      <c r="B91" s="123"/>
      <c r="C91" s="123"/>
      <c r="D91" s="131">
        <f>D89+D86+D80+D75+D71+D62+D59+D54+D51+D48+D45+D28+D23+D18+D14+D11+D8</f>
        <v>194.94000000000003</v>
      </c>
      <c r="E91" s="131">
        <f>E89+E86+E80+E75+E71+E62+E59+E54+E51+E48+E45+E28+E23+E18+E14+E11+E8</f>
        <v>5495.5899999999983</v>
      </c>
    </row>
  </sheetData>
  <mergeCells count="1">
    <mergeCell ref="G4:K4"/>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K101"/>
  <sheetViews>
    <sheetView topLeftCell="B51" workbookViewId="0">
      <selection activeCell="F19" sqref="F19"/>
    </sheetView>
  </sheetViews>
  <sheetFormatPr defaultRowHeight="12.75"/>
  <cols>
    <col min="1" max="1" width="31.7109375" style="123" customWidth="1"/>
    <col min="2" max="2" width="22.7109375" style="123" customWidth="1"/>
    <col min="3" max="3" width="36.7109375" style="123" customWidth="1"/>
    <col min="4" max="4" width="22.7109375" style="123" customWidth="1"/>
    <col min="5" max="5" width="25.7109375" style="167" customWidth="1"/>
    <col min="7" max="7" width="15.42578125" customWidth="1"/>
    <col min="8" max="8" width="21.28515625" customWidth="1"/>
    <col min="9" max="9" width="11.28515625" customWidth="1"/>
    <col min="10" max="10" width="12" customWidth="1"/>
    <col min="11" max="11" width="10" customWidth="1"/>
  </cols>
  <sheetData>
    <row r="1" spans="1:11">
      <c r="A1" s="122" t="s">
        <v>147</v>
      </c>
      <c r="B1" s="122" t="s">
        <v>148</v>
      </c>
      <c r="C1" s="122" t="s">
        <v>149</v>
      </c>
      <c r="D1" s="122" t="s">
        <v>150</v>
      </c>
      <c r="E1" s="154" t="s">
        <v>151</v>
      </c>
      <c r="G1" s="38" t="s">
        <v>259</v>
      </c>
      <c r="H1" s="58" t="s">
        <v>334</v>
      </c>
      <c r="I1" s="40" t="s">
        <v>260</v>
      </c>
      <c r="J1" s="119" t="s">
        <v>262</v>
      </c>
      <c r="K1" s="39" t="s">
        <v>261</v>
      </c>
    </row>
    <row r="2" spans="1:11">
      <c r="A2" s="124" t="s">
        <v>366</v>
      </c>
      <c r="B2" s="125" t="s">
        <v>152</v>
      </c>
      <c r="C2" s="124" t="s">
        <v>15</v>
      </c>
      <c r="D2" s="126">
        <v>2.25</v>
      </c>
      <c r="E2" s="134">
        <v>60.28</v>
      </c>
      <c r="G2" s="13">
        <f>E19+E24+E31+E35+E38+E39+E43+E74+E75+E76+E77</f>
        <v>2658.08</v>
      </c>
      <c r="H2" s="59">
        <f>E4+E7</f>
        <v>346.64</v>
      </c>
      <c r="I2" s="66">
        <v>0</v>
      </c>
      <c r="J2" s="166">
        <f>E62+E65</f>
        <v>1514.94</v>
      </c>
      <c r="K2" s="16">
        <v>0</v>
      </c>
    </row>
    <row r="3" spans="1:11">
      <c r="A3" s="124" t="s">
        <v>389</v>
      </c>
      <c r="B3" s="125" t="s">
        <v>152</v>
      </c>
      <c r="C3" s="124" t="s">
        <v>15</v>
      </c>
      <c r="D3" s="126">
        <v>2.27</v>
      </c>
      <c r="E3" s="134">
        <v>71.599999999999994</v>
      </c>
      <c r="G3" s="18"/>
      <c r="H3" t="s">
        <v>263</v>
      </c>
      <c r="I3" s="18"/>
      <c r="J3" s="18"/>
      <c r="K3" s="18"/>
    </row>
    <row r="4" spans="1:11">
      <c r="A4" s="168" t="s">
        <v>18</v>
      </c>
      <c r="B4" s="169" t="s">
        <v>152</v>
      </c>
      <c r="C4" s="168" t="s">
        <v>15</v>
      </c>
      <c r="D4" s="170">
        <v>7.08</v>
      </c>
      <c r="E4" s="171">
        <v>201.13</v>
      </c>
      <c r="F4" t="s">
        <v>495</v>
      </c>
      <c r="G4" s="11"/>
      <c r="H4" s="11"/>
      <c r="I4" s="11"/>
      <c r="J4" s="11"/>
      <c r="K4" s="11"/>
    </row>
    <row r="5" spans="1:11">
      <c r="A5" s="124" t="s">
        <v>434</v>
      </c>
      <c r="B5" s="125" t="s">
        <v>152</v>
      </c>
      <c r="C5" s="124" t="s">
        <v>98</v>
      </c>
      <c r="D5" s="126">
        <v>2.2000000000000002</v>
      </c>
      <c r="E5" s="134">
        <v>70.72</v>
      </c>
      <c r="H5" t="s">
        <v>461</v>
      </c>
    </row>
    <row r="6" spans="1:11" ht="15">
      <c r="A6" s="124" t="s">
        <v>496</v>
      </c>
      <c r="B6" s="125" t="s">
        <v>152</v>
      </c>
      <c r="C6" s="124" t="s">
        <v>15</v>
      </c>
      <c r="D6" s="126">
        <v>3.48</v>
      </c>
      <c r="E6" s="134">
        <v>109.73</v>
      </c>
      <c r="H6" s="157" t="s">
        <v>454</v>
      </c>
    </row>
    <row r="7" spans="1:11" ht="15">
      <c r="A7" s="168" t="s">
        <v>377</v>
      </c>
      <c r="B7" s="169" t="s">
        <v>152</v>
      </c>
      <c r="C7" s="168" t="s">
        <v>15</v>
      </c>
      <c r="D7" s="170">
        <v>4.3499999999999996</v>
      </c>
      <c r="E7" s="171">
        <v>145.51</v>
      </c>
      <c r="F7" t="s">
        <v>495</v>
      </c>
      <c r="H7" s="158" t="s">
        <v>455</v>
      </c>
    </row>
    <row r="8" spans="1:11">
      <c r="A8" s="124" t="s">
        <v>469</v>
      </c>
      <c r="B8" s="125" t="s">
        <v>152</v>
      </c>
      <c r="C8" s="124" t="s">
        <v>15</v>
      </c>
      <c r="D8" s="126">
        <v>0.55000000000000004</v>
      </c>
      <c r="E8" s="134">
        <v>14.78</v>
      </c>
    </row>
    <row r="9" spans="1:11">
      <c r="A9" s="127" t="s">
        <v>7</v>
      </c>
      <c r="B9" s="124"/>
      <c r="C9" s="124"/>
      <c r="D9" s="131">
        <f>SUM(D2:D8)</f>
        <v>22.180000000000003</v>
      </c>
      <c r="E9" s="135">
        <f>SUM(E2:E8)</f>
        <v>673.75</v>
      </c>
    </row>
    <row r="10" spans="1:11">
      <c r="A10" s="127"/>
      <c r="B10" s="124"/>
      <c r="C10" s="124"/>
      <c r="D10" s="131"/>
      <c r="E10" s="135"/>
    </row>
    <row r="11" spans="1:11">
      <c r="A11" s="124" t="s">
        <v>470</v>
      </c>
      <c r="B11" s="125" t="s">
        <v>217</v>
      </c>
      <c r="C11" s="124" t="s">
        <v>218</v>
      </c>
      <c r="D11" s="126">
        <v>2.97</v>
      </c>
      <c r="E11" s="134">
        <v>85.57</v>
      </c>
    </row>
    <row r="12" spans="1:11">
      <c r="A12" s="127" t="s">
        <v>7</v>
      </c>
      <c r="B12" s="124"/>
      <c r="C12" s="124"/>
      <c r="D12" s="131">
        <f>SUM(D11)</f>
        <v>2.97</v>
      </c>
      <c r="E12" s="135">
        <f>SUM(E11)</f>
        <v>85.57</v>
      </c>
    </row>
    <row r="13" spans="1:11">
      <c r="A13" s="127"/>
      <c r="B13" s="124"/>
      <c r="C13" s="124"/>
      <c r="D13" s="131"/>
      <c r="E13" s="135"/>
    </row>
    <row r="14" spans="1:11">
      <c r="A14" s="124" t="s">
        <v>20</v>
      </c>
      <c r="B14" s="125" t="s">
        <v>154</v>
      </c>
      <c r="C14" s="124" t="s">
        <v>23</v>
      </c>
      <c r="D14" s="126">
        <v>1.1299999999999999</v>
      </c>
      <c r="E14" s="134">
        <v>34.409999999999997</v>
      </c>
    </row>
    <row r="15" spans="1:11">
      <c r="A15" s="124" t="s">
        <v>497</v>
      </c>
      <c r="B15" s="125" t="s">
        <v>154</v>
      </c>
      <c r="C15" s="124" t="s">
        <v>23</v>
      </c>
      <c r="D15" s="126">
        <v>0.73</v>
      </c>
      <c r="E15" s="134">
        <v>24.6</v>
      </c>
    </row>
    <row r="16" spans="1:11">
      <c r="A16" s="124" t="s">
        <v>488</v>
      </c>
      <c r="B16" s="125" t="s">
        <v>154</v>
      </c>
      <c r="C16" s="124" t="s">
        <v>23</v>
      </c>
      <c r="D16" s="126">
        <v>1.17</v>
      </c>
      <c r="E16" s="134">
        <v>43.75</v>
      </c>
    </row>
    <row r="17" spans="1:6">
      <c r="A17" s="127" t="s">
        <v>7</v>
      </c>
      <c r="B17" s="124"/>
      <c r="C17" s="124"/>
      <c r="D17" s="131">
        <f>SUM(D14:D16)</f>
        <v>3.03</v>
      </c>
      <c r="E17" s="135">
        <f>SUM(E14:E16)</f>
        <v>102.75999999999999</v>
      </c>
    </row>
    <row r="18" spans="1:6">
      <c r="A18" s="127"/>
      <c r="B18" s="125"/>
      <c r="C18" s="124"/>
      <c r="D18" s="131"/>
      <c r="E18" s="135"/>
    </row>
    <row r="19" spans="1:6">
      <c r="A19" s="140" t="s">
        <v>471</v>
      </c>
      <c r="B19" s="141" t="s">
        <v>155</v>
      </c>
      <c r="C19" s="140" t="s">
        <v>196</v>
      </c>
      <c r="D19" s="142">
        <v>5.5</v>
      </c>
      <c r="E19" s="143">
        <v>189.75</v>
      </c>
      <c r="F19" t="s">
        <v>481</v>
      </c>
    </row>
    <row r="20" spans="1:6">
      <c r="A20" s="124" t="s">
        <v>415</v>
      </c>
      <c r="B20" s="125" t="s">
        <v>155</v>
      </c>
      <c r="C20" s="124" t="s">
        <v>196</v>
      </c>
      <c r="D20" s="126">
        <v>0.87</v>
      </c>
      <c r="E20" s="134">
        <v>28.69</v>
      </c>
    </row>
    <row r="21" spans="1:6">
      <c r="A21" s="127" t="s">
        <v>7</v>
      </c>
      <c r="B21" s="125"/>
      <c r="C21" s="124"/>
      <c r="D21" s="131">
        <f>SUM(D19:D20)</f>
        <v>6.37</v>
      </c>
      <c r="E21" s="135">
        <f>SUM(E19:E20)</f>
        <v>218.44</v>
      </c>
    </row>
    <row r="22" spans="1:6">
      <c r="A22" s="127"/>
      <c r="B22" s="125"/>
      <c r="C22" s="124"/>
      <c r="D22" s="131"/>
      <c r="E22" s="135"/>
    </row>
    <row r="23" spans="1:6">
      <c r="A23" s="124" t="s">
        <v>14</v>
      </c>
      <c r="B23" s="125" t="s">
        <v>156</v>
      </c>
      <c r="C23" s="124" t="s">
        <v>91</v>
      </c>
      <c r="D23" s="126">
        <v>0.02</v>
      </c>
      <c r="E23" s="134">
        <v>0.55000000000000004</v>
      </c>
    </row>
    <row r="24" spans="1:6">
      <c r="A24" s="140" t="s">
        <v>335</v>
      </c>
      <c r="B24" s="141" t="s">
        <v>156</v>
      </c>
      <c r="C24" s="140" t="s">
        <v>91</v>
      </c>
      <c r="D24" s="142">
        <v>10.43</v>
      </c>
      <c r="E24" s="143">
        <v>325.52</v>
      </c>
      <c r="F24" t="s">
        <v>481</v>
      </c>
    </row>
    <row r="25" spans="1:6">
      <c r="A25" s="123" t="s">
        <v>489</v>
      </c>
      <c r="B25" s="132" t="s">
        <v>156</v>
      </c>
      <c r="C25" s="123" t="s">
        <v>91</v>
      </c>
      <c r="D25" s="126">
        <v>3.97</v>
      </c>
      <c r="E25" s="134">
        <v>108.29</v>
      </c>
    </row>
    <row r="26" spans="1:6">
      <c r="A26" s="127" t="s">
        <v>7</v>
      </c>
      <c r="B26" s="124"/>
      <c r="C26" s="124"/>
      <c r="D26" s="131">
        <f>SUM(D23:D25)</f>
        <v>14.42</v>
      </c>
      <c r="E26" s="135">
        <f>SUM(E23:E25)</f>
        <v>434.36</v>
      </c>
    </row>
    <row r="27" spans="1:6">
      <c r="A27" s="124"/>
      <c r="B27" s="124"/>
      <c r="C27" s="124"/>
      <c r="D27" s="126"/>
      <c r="E27" s="134"/>
    </row>
    <row r="28" spans="1:6">
      <c r="A28" s="124" t="s">
        <v>492</v>
      </c>
      <c r="B28" s="125" t="s">
        <v>157</v>
      </c>
      <c r="C28" s="124" t="s">
        <v>66</v>
      </c>
      <c r="D28" s="126">
        <v>2.65</v>
      </c>
      <c r="E28" s="134">
        <v>63.6</v>
      </c>
    </row>
    <row r="29" spans="1:6">
      <c r="A29" s="124" t="s">
        <v>228</v>
      </c>
      <c r="B29" s="125" t="s">
        <v>157</v>
      </c>
      <c r="C29" s="124" t="s">
        <v>66</v>
      </c>
      <c r="D29" s="126">
        <v>1.88</v>
      </c>
      <c r="E29" s="134">
        <v>48.48</v>
      </c>
    </row>
    <row r="30" spans="1:6">
      <c r="A30" s="124" t="s">
        <v>498</v>
      </c>
      <c r="B30" s="125" t="s">
        <v>157</v>
      </c>
      <c r="C30" s="124" t="s">
        <v>66</v>
      </c>
      <c r="D30" s="126">
        <v>7.0000000000000007E-2</v>
      </c>
      <c r="E30" s="134">
        <v>1.6</v>
      </c>
    </row>
    <row r="31" spans="1:6">
      <c r="A31" s="140" t="s">
        <v>472</v>
      </c>
      <c r="B31" s="141" t="s">
        <v>157</v>
      </c>
      <c r="C31" s="140" t="s">
        <v>66</v>
      </c>
      <c r="D31" s="142">
        <v>4.72</v>
      </c>
      <c r="E31" s="143">
        <v>113.2</v>
      </c>
      <c r="F31" t="s">
        <v>481</v>
      </c>
    </row>
    <row r="32" spans="1:6">
      <c r="A32" s="124" t="s">
        <v>86</v>
      </c>
      <c r="B32" s="125" t="s">
        <v>157</v>
      </c>
      <c r="C32" s="124" t="s">
        <v>66</v>
      </c>
      <c r="D32" s="126">
        <v>0.15</v>
      </c>
      <c r="E32" s="134">
        <v>3.94</v>
      </c>
    </row>
    <row r="33" spans="1:6">
      <c r="A33" s="123" t="s">
        <v>429</v>
      </c>
      <c r="B33" s="132" t="s">
        <v>157</v>
      </c>
      <c r="C33" s="123" t="s">
        <v>66</v>
      </c>
      <c r="D33" s="133">
        <v>1.5</v>
      </c>
      <c r="E33" s="134">
        <v>39.380000000000003</v>
      </c>
    </row>
    <row r="34" spans="1:6">
      <c r="A34" s="123" t="s">
        <v>407</v>
      </c>
      <c r="B34" s="132" t="s">
        <v>157</v>
      </c>
      <c r="C34" s="123" t="s">
        <v>66</v>
      </c>
      <c r="D34" s="133">
        <v>2.77</v>
      </c>
      <c r="E34" s="134">
        <v>69.180000000000007</v>
      </c>
    </row>
    <row r="35" spans="1:6">
      <c r="A35" s="148" t="s">
        <v>328</v>
      </c>
      <c r="B35" s="149" t="s">
        <v>157</v>
      </c>
      <c r="C35" s="148" t="s">
        <v>66</v>
      </c>
      <c r="D35" s="150">
        <v>12.7</v>
      </c>
      <c r="E35" s="143">
        <v>346.71</v>
      </c>
      <c r="F35" t="s">
        <v>481</v>
      </c>
    </row>
    <row r="36" spans="1:6">
      <c r="A36" s="123" t="s">
        <v>458</v>
      </c>
      <c r="B36" s="132" t="s">
        <v>157</v>
      </c>
      <c r="C36" s="123" t="s">
        <v>66</v>
      </c>
      <c r="D36" s="133">
        <v>1.83</v>
      </c>
      <c r="E36" s="134">
        <v>46.9</v>
      </c>
    </row>
    <row r="37" spans="1:6">
      <c r="A37" s="124" t="s">
        <v>422</v>
      </c>
      <c r="B37" s="125" t="s">
        <v>157</v>
      </c>
      <c r="C37" s="124" t="s">
        <v>66</v>
      </c>
      <c r="D37" s="126">
        <v>0.15</v>
      </c>
      <c r="E37" s="134">
        <v>4.5199999999999996</v>
      </c>
    </row>
    <row r="38" spans="1:6">
      <c r="A38" s="148" t="s">
        <v>79</v>
      </c>
      <c r="B38" s="149" t="s">
        <v>157</v>
      </c>
      <c r="C38" s="148" t="s">
        <v>66</v>
      </c>
      <c r="D38" s="148">
        <v>4.83</v>
      </c>
      <c r="E38" s="143">
        <v>120.64</v>
      </c>
      <c r="F38" t="s">
        <v>481</v>
      </c>
    </row>
    <row r="39" spans="1:6">
      <c r="A39" s="148" t="s">
        <v>483</v>
      </c>
      <c r="B39" s="149" t="s">
        <v>157</v>
      </c>
      <c r="C39" s="148" t="s">
        <v>66</v>
      </c>
      <c r="D39" s="148">
        <v>6.33</v>
      </c>
      <c r="E39" s="143">
        <v>152</v>
      </c>
      <c r="F39" t="s">
        <v>481</v>
      </c>
    </row>
    <row r="40" spans="1:6">
      <c r="A40" s="123" t="s">
        <v>375</v>
      </c>
      <c r="B40" s="132" t="s">
        <v>157</v>
      </c>
      <c r="C40" s="123" t="s">
        <v>66</v>
      </c>
      <c r="D40" s="123">
        <v>0.55000000000000004</v>
      </c>
      <c r="E40" s="134">
        <v>14.03</v>
      </c>
    </row>
    <row r="41" spans="1:6">
      <c r="A41" s="127" t="s">
        <v>7</v>
      </c>
      <c r="B41" s="124"/>
      <c r="C41" s="124"/>
      <c r="D41" s="131">
        <f>SUM(D28:D40)</f>
        <v>40.129999999999988</v>
      </c>
      <c r="E41" s="135">
        <f>SUM(E28:E40)</f>
        <v>1024.1799999999998</v>
      </c>
    </row>
    <row r="42" spans="1:6">
      <c r="A42" s="127"/>
      <c r="B42" s="124"/>
      <c r="C42" s="124"/>
      <c r="D42" s="131"/>
      <c r="E42" s="135"/>
    </row>
    <row r="43" spans="1:6">
      <c r="A43" s="140" t="s">
        <v>163</v>
      </c>
      <c r="B43" s="141" t="s">
        <v>162</v>
      </c>
      <c r="C43" s="140" t="s">
        <v>51</v>
      </c>
      <c r="D43" s="142">
        <v>13.48</v>
      </c>
      <c r="E43" s="143">
        <v>444.95</v>
      </c>
      <c r="F43" t="s">
        <v>481</v>
      </c>
    </row>
    <row r="44" spans="1:6">
      <c r="A44" s="127" t="s">
        <v>7</v>
      </c>
      <c r="B44" s="125"/>
      <c r="C44" s="124"/>
      <c r="D44" s="131">
        <f>SUM(D43:D43)</f>
        <v>13.48</v>
      </c>
      <c r="E44" s="135">
        <f>SUM(E43:E43)</f>
        <v>444.95</v>
      </c>
    </row>
    <row r="45" spans="1:6">
      <c r="A45" s="127"/>
      <c r="B45" s="124"/>
      <c r="C45" s="124"/>
      <c r="D45" s="131"/>
      <c r="E45" s="135"/>
    </row>
    <row r="46" spans="1:6">
      <c r="A46" s="124" t="s">
        <v>64</v>
      </c>
      <c r="B46" s="125" t="s">
        <v>164</v>
      </c>
      <c r="C46" s="124" t="s">
        <v>60</v>
      </c>
      <c r="D46" s="126">
        <v>0.75</v>
      </c>
      <c r="E46" s="134">
        <v>16.88</v>
      </c>
    </row>
    <row r="47" spans="1:6">
      <c r="A47" s="127" t="s">
        <v>7</v>
      </c>
      <c r="B47" s="124"/>
      <c r="C47" s="124"/>
      <c r="D47" s="131">
        <f>SUM(D46:D46)</f>
        <v>0.75</v>
      </c>
      <c r="E47" s="135">
        <f>SUM(E46:E46)</f>
        <v>16.88</v>
      </c>
    </row>
    <row r="48" spans="1:6">
      <c r="A48" s="127"/>
      <c r="B48" s="124"/>
      <c r="C48" s="124"/>
      <c r="D48" s="131"/>
      <c r="E48" s="135"/>
    </row>
    <row r="49" spans="1:6">
      <c r="A49" s="124" t="s">
        <v>474</v>
      </c>
      <c r="B49" s="125" t="s">
        <v>165</v>
      </c>
      <c r="C49" s="124" t="s">
        <v>465</v>
      </c>
      <c r="D49" s="126">
        <v>1.08</v>
      </c>
      <c r="E49" s="134">
        <v>26.81</v>
      </c>
    </row>
    <row r="50" spans="1:6">
      <c r="A50" s="127" t="s">
        <v>7</v>
      </c>
      <c r="B50" s="125"/>
      <c r="C50" s="124"/>
      <c r="D50" s="131">
        <f>SUM(D49:D49)</f>
        <v>1.08</v>
      </c>
      <c r="E50" s="135">
        <f>SUM(E49:E49)</f>
        <v>26.81</v>
      </c>
    </row>
    <row r="51" spans="1:6">
      <c r="A51" s="127"/>
      <c r="B51" s="124"/>
      <c r="C51" s="124"/>
      <c r="D51" s="131"/>
      <c r="E51" s="135"/>
    </row>
    <row r="52" spans="1:6">
      <c r="A52" s="124" t="s">
        <v>345</v>
      </c>
      <c r="B52" s="125" t="s">
        <v>167</v>
      </c>
      <c r="C52" s="124" t="s">
        <v>54</v>
      </c>
      <c r="D52" s="126">
        <v>1.32</v>
      </c>
      <c r="E52" s="134">
        <v>35.61</v>
      </c>
    </row>
    <row r="53" spans="1:6">
      <c r="A53" s="124" t="s">
        <v>421</v>
      </c>
      <c r="B53" s="125" t="s">
        <v>167</v>
      </c>
      <c r="C53" s="124" t="s">
        <v>54</v>
      </c>
      <c r="D53" s="126">
        <v>0.9</v>
      </c>
      <c r="E53" s="134">
        <v>24.79</v>
      </c>
    </row>
    <row r="54" spans="1:6">
      <c r="A54" s="124" t="s">
        <v>292</v>
      </c>
      <c r="B54" s="125" t="s">
        <v>167</v>
      </c>
      <c r="C54" s="124" t="s">
        <v>54</v>
      </c>
      <c r="D54" s="126">
        <v>0.53</v>
      </c>
      <c r="E54" s="134">
        <v>13.6</v>
      </c>
    </row>
    <row r="55" spans="1:6">
      <c r="A55" s="124" t="s">
        <v>499</v>
      </c>
      <c r="B55" s="125" t="s">
        <v>167</v>
      </c>
      <c r="C55" s="124" t="s">
        <v>54</v>
      </c>
      <c r="D55" s="126">
        <v>0.67</v>
      </c>
      <c r="E55" s="134">
        <v>17</v>
      </c>
    </row>
    <row r="56" spans="1:6">
      <c r="A56" s="124" t="s">
        <v>393</v>
      </c>
      <c r="B56" s="125" t="s">
        <v>167</v>
      </c>
      <c r="C56" s="124" t="s">
        <v>54</v>
      </c>
      <c r="D56" s="126">
        <v>2</v>
      </c>
      <c r="E56" s="134">
        <v>48</v>
      </c>
    </row>
    <row r="57" spans="1:6">
      <c r="A57" s="127" t="s">
        <v>7</v>
      </c>
      <c r="B57" s="125"/>
      <c r="C57" s="124"/>
      <c r="D57" s="131">
        <f>SUM(D52:D56)</f>
        <v>5.42</v>
      </c>
      <c r="E57" s="135">
        <f>SUM(E52:E56)</f>
        <v>139</v>
      </c>
    </row>
    <row r="58" spans="1:6">
      <c r="A58" s="127"/>
      <c r="B58" s="125"/>
      <c r="C58" s="124"/>
      <c r="D58" s="131"/>
      <c r="E58" s="135"/>
    </row>
    <row r="59" spans="1:6">
      <c r="A59" s="124" t="s">
        <v>480</v>
      </c>
      <c r="B59" s="125" t="s">
        <v>240</v>
      </c>
      <c r="C59" s="124" t="s">
        <v>241</v>
      </c>
      <c r="D59" s="126">
        <v>2.92</v>
      </c>
      <c r="E59" s="134">
        <v>94.63</v>
      </c>
    </row>
    <row r="60" spans="1:6">
      <c r="A60" s="127" t="s">
        <v>7</v>
      </c>
      <c r="B60" s="125"/>
      <c r="C60" s="124"/>
      <c r="D60" s="131">
        <f>SUM(D59)</f>
        <v>2.92</v>
      </c>
      <c r="E60" s="135">
        <f>SUM(E59)</f>
        <v>94.63</v>
      </c>
    </row>
    <row r="61" spans="1:6">
      <c r="A61" s="127"/>
      <c r="B61" s="125"/>
      <c r="C61" s="124"/>
      <c r="D61" s="131"/>
      <c r="E61" s="135"/>
    </row>
    <row r="62" spans="1:6">
      <c r="A62" s="189" t="s">
        <v>459</v>
      </c>
      <c r="B62" s="190" t="s">
        <v>171</v>
      </c>
      <c r="C62" s="189" t="s">
        <v>25</v>
      </c>
      <c r="D62" s="191">
        <v>22.77</v>
      </c>
      <c r="E62" s="192">
        <v>683</v>
      </c>
      <c r="F62" t="s">
        <v>495</v>
      </c>
    </row>
    <row r="63" spans="1:6">
      <c r="A63" s="124" t="s">
        <v>493</v>
      </c>
      <c r="B63" s="125" t="s">
        <v>171</v>
      </c>
      <c r="C63" s="124" t="s">
        <v>25</v>
      </c>
      <c r="D63" s="126">
        <v>1.48</v>
      </c>
      <c r="E63" s="134">
        <v>46.73</v>
      </c>
    </row>
    <row r="64" spans="1:6">
      <c r="A64" s="124" t="s">
        <v>500</v>
      </c>
      <c r="B64" s="125" t="s">
        <v>171</v>
      </c>
      <c r="C64" s="124" t="s">
        <v>25</v>
      </c>
      <c r="D64" s="126">
        <v>0.37</v>
      </c>
      <c r="E64" s="134">
        <v>11</v>
      </c>
    </row>
    <row r="65" spans="1:6">
      <c r="A65" s="189" t="s">
        <v>487</v>
      </c>
      <c r="B65" s="190" t="s">
        <v>171</v>
      </c>
      <c r="C65" s="189" t="s">
        <v>25</v>
      </c>
      <c r="D65" s="191">
        <v>24.65</v>
      </c>
      <c r="E65" s="192">
        <v>831.94</v>
      </c>
      <c r="F65" t="s">
        <v>495</v>
      </c>
    </row>
    <row r="66" spans="1:6">
      <c r="A66" s="124" t="s">
        <v>397</v>
      </c>
      <c r="B66" s="125" t="s">
        <v>171</v>
      </c>
      <c r="C66" s="124" t="s">
        <v>25</v>
      </c>
      <c r="D66" s="126">
        <v>1.2</v>
      </c>
      <c r="E66" s="134">
        <v>37.94</v>
      </c>
    </row>
    <row r="67" spans="1:6">
      <c r="A67" s="127" t="s">
        <v>7</v>
      </c>
      <c r="B67" s="124"/>
      <c r="C67" s="124"/>
      <c r="D67" s="131">
        <f>SUM(D62:D66)</f>
        <v>50.47</v>
      </c>
      <c r="E67" s="135">
        <f>SUM(E62:E66)</f>
        <v>1610.6100000000001</v>
      </c>
    </row>
    <row r="68" spans="1:6">
      <c r="A68" s="127"/>
      <c r="B68" s="124"/>
      <c r="C68" s="124"/>
      <c r="D68" s="131"/>
      <c r="E68" s="135"/>
    </row>
    <row r="69" spans="1:6">
      <c r="A69" s="124" t="s">
        <v>501</v>
      </c>
      <c r="B69" s="125" t="s">
        <v>172</v>
      </c>
      <c r="C69" s="124" t="s">
        <v>348</v>
      </c>
      <c r="D69" s="126">
        <v>0.02</v>
      </c>
      <c r="E69" s="134">
        <v>0.63</v>
      </c>
    </row>
    <row r="70" spans="1:6">
      <c r="A70" s="124" t="s">
        <v>494</v>
      </c>
      <c r="B70" s="125" t="s">
        <v>172</v>
      </c>
      <c r="C70" s="124" t="s">
        <v>348</v>
      </c>
      <c r="D70" s="126">
        <v>1.8</v>
      </c>
      <c r="E70" s="134">
        <v>70.2</v>
      </c>
    </row>
    <row r="71" spans="1:6">
      <c r="A71" s="124" t="s">
        <v>413</v>
      </c>
      <c r="B71" s="125" t="s">
        <v>172</v>
      </c>
      <c r="C71" s="124" t="s">
        <v>348</v>
      </c>
      <c r="D71" s="126">
        <v>0.38</v>
      </c>
      <c r="E71" s="134">
        <v>13.53</v>
      </c>
    </row>
    <row r="72" spans="1:6">
      <c r="A72" s="127" t="s">
        <v>7</v>
      </c>
      <c r="B72" s="124"/>
      <c r="C72" s="124"/>
      <c r="D72" s="131">
        <f>SUM(D69:D71)</f>
        <v>2.2000000000000002</v>
      </c>
      <c r="E72" s="135">
        <f>SUM(E69:E71)</f>
        <v>84.36</v>
      </c>
    </row>
    <row r="73" spans="1:6">
      <c r="A73" s="127"/>
      <c r="B73" s="124"/>
      <c r="C73" s="124"/>
      <c r="D73" s="131"/>
      <c r="E73" s="135"/>
    </row>
    <row r="74" spans="1:6">
      <c r="A74" s="140" t="s">
        <v>395</v>
      </c>
      <c r="B74" s="140">
        <v>100051</v>
      </c>
      <c r="C74" s="140" t="s">
        <v>34</v>
      </c>
      <c r="D74" s="142">
        <v>7.45</v>
      </c>
      <c r="E74" s="143">
        <v>167.63</v>
      </c>
      <c r="F74" t="s">
        <v>481</v>
      </c>
    </row>
    <row r="75" spans="1:6">
      <c r="A75" s="140" t="s">
        <v>502</v>
      </c>
      <c r="B75" s="140">
        <v>100051</v>
      </c>
      <c r="C75" s="140" t="s">
        <v>34</v>
      </c>
      <c r="D75" s="142">
        <v>7.1</v>
      </c>
      <c r="E75" s="143">
        <v>154.43</v>
      </c>
      <c r="F75" t="s">
        <v>481</v>
      </c>
    </row>
    <row r="76" spans="1:6">
      <c r="A76" s="140" t="s">
        <v>380</v>
      </c>
      <c r="B76" s="140">
        <v>100051</v>
      </c>
      <c r="C76" s="140" t="s">
        <v>34</v>
      </c>
      <c r="D76" s="142">
        <v>8</v>
      </c>
      <c r="E76" s="143">
        <v>180</v>
      </c>
      <c r="F76" t="s">
        <v>481</v>
      </c>
    </row>
    <row r="77" spans="1:6">
      <c r="A77" s="140" t="s">
        <v>37</v>
      </c>
      <c r="B77" s="141">
        <v>100051</v>
      </c>
      <c r="C77" s="140" t="s">
        <v>34</v>
      </c>
      <c r="D77" s="142">
        <v>18.170000000000002</v>
      </c>
      <c r="E77" s="143">
        <v>463.25</v>
      </c>
      <c r="F77" t="s">
        <v>481</v>
      </c>
    </row>
    <row r="78" spans="1:6">
      <c r="A78" s="124" t="s">
        <v>503</v>
      </c>
      <c r="B78" s="125">
        <v>100051</v>
      </c>
      <c r="C78" s="124" t="s">
        <v>34</v>
      </c>
      <c r="D78" s="126">
        <v>1</v>
      </c>
      <c r="E78" s="134">
        <v>21</v>
      </c>
    </row>
    <row r="79" spans="1:6">
      <c r="A79" s="127" t="s">
        <v>7</v>
      </c>
      <c r="B79" s="124"/>
      <c r="C79" s="124"/>
      <c r="D79" s="131">
        <f>SUM(D74:D78)</f>
        <v>41.72</v>
      </c>
      <c r="E79" s="135">
        <f>SUM(E74:E78)</f>
        <v>986.31</v>
      </c>
    </row>
    <row r="80" spans="1:6">
      <c r="A80" s="127"/>
      <c r="B80" s="124"/>
      <c r="C80" s="124"/>
      <c r="D80" s="126"/>
      <c r="E80" s="134"/>
    </row>
    <row r="81" spans="1:5">
      <c r="A81" s="124" t="s">
        <v>475</v>
      </c>
      <c r="B81" s="124" t="s">
        <v>476</v>
      </c>
      <c r="C81" s="124" t="s">
        <v>477</v>
      </c>
      <c r="D81" s="126">
        <v>3.27</v>
      </c>
      <c r="E81" s="134">
        <v>117.8</v>
      </c>
    </row>
    <row r="82" spans="1:5">
      <c r="A82" s="127" t="s">
        <v>7</v>
      </c>
      <c r="B82" s="124"/>
      <c r="C82" s="124"/>
      <c r="D82" s="131">
        <f>SUM(D81)</f>
        <v>3.27</v>
      </c>
      <c r="E82" s="135">
        <f>SUM(E81)</f>
        <v>117.8</v>
      </c>
    </row>
    <row r="83" spans="1:5">
      <c r="A83" s="127"/>
      <c r="B83" s="124"/>
      <c r="C83" s="124"/>
      <c r="D83" s="131"/>
      <c r="E83" s="135"/>
    </row>
    <row r="84" spans="1:5">
      <c r="A84" s="122" t="s">
        <v>194</v>
      </c>
      <c r="D84" s="131">
        <f>D82+D79+D72+D67+D60+D57+D50+D47+D44+D41+D26+D21+D17+D12+D9</f>
        <v>210.41</v>
      </c>
      <c r="E84" s="135">
        <f>E82+E79+E72+E67+E60+E57+E50+E47+E44+E41+E26+E21+E17+E12+E9</f>
        <v>6060.4099999999989</v>
      </c>
    </row>
    <row r="85" spans="1:5">
      <c r="A85" s="127"/>
      <c r="B85" s="124"/>
      <c r="C85" s="124"/>
      <c r="D85" s="131"/>
      <c r="E85" s="135"/>
    </row>
    <row r="86" spans="1:5">
      <c r="A86" s="124"/>
      <c r="B86" s="124"/>
      <c r="C86" s="124"/>
      <c r="D86" s="126"/>
      <c r="E86" s="134"/>
    </row>
    <row r="87" spans="1:5">
      <c r="A87" s="124"/>
      <c r="B87" s="124"/>
      <c r="C87" s="124"/>
      <c r="D87" s="126"/>
      <c r="E87" s="134"/>
    </row>
    <row r="88" spans="1:5">
      <c r="A88" s="127"/>
      <c r="B88" s="124"/>
      <c r="C88" s="124"/>
      <c r="D88" s="131"/>
      <c r="E88" s="135"/>
    </row>
    <row r="89" spans="1:5">
      <c r="A89" s="127"/>
      <c r="B89" s="124"/>
      <c r="C89" s="124"/>
      <c r="D89" s="131"/>
      <c r="E89" s="135"/>
    </row>
    <row r="90" spans="1:5">
      <c r="A90" s="124"/>
      <c r="B90" s="124"/>
      <c r="C90" s="124"/>
      <c r="D90" s="126"/>
      <c r="E90" s="134"/>
    </row>
    <row r="91" spans="1:5">
      <c r="A91" s="127"/>
      <c r="B91" s="124"/>
      <c r="C91" s="124"/>
      <c r="D91" s="131"/>
      <c r="E91" s="135"/>
    </row>
    <row r="92" spans="1:5">
      <c r="A92" s="127"/>
      <c r="B92" s="124"/>
      <c r="C92" s="124"/>
      <c r="D92" s="131"/>
      <c r="E92" s="135"/>
    </row>
    <row r="93" spans="1:5">
      <c r="A93" s="124"/>
      <c r="B93" s="124"/>
      <c r="C93" s="124"/>
      <c r="D93" s="126"/>
      <c r="E93" s="134"/>
    </row>
    <row r="94" spans="1:5">
      <c r="A94" s="127"/>
      <c r="B94" s="124"/>
      <c r="C94" s="124"/>
      <c r="D94" s="131"/>
      <c r="E94" s="135"/>
    </row>
    <row r="95" spans="1:5">
      <c r="A95" s="127"/>
      <c r="B95" s="124"/>
      <c r="C95" s="124"/>
      <c r="D95" s="131"/>
      <c r="E95" s="135"/>
    </row>
    <row r="96" spans="1:5">
      <c r="A96" s="124"/>
      <c r="B96" s="124"/>
      <c r="C96" s="124"/>
      <c r="D96" s="126"/>
      <c r="E96" s="134"/>
    </row>
    <row r="97" spans="1:5">
      <c r="A97" s="124"/>
      <c r="B97" s="124"/>
      <c r="C97" s="124"/>
      <c r="D97" s="126"/>
      <c r="E97" s="134"/>
    </row>
    <row r="98" spans="1:5">
      <c r="A98" s="127"/>
      <c r="B98" s="124"/>
      <c r="C98" s="124"/>
      <c r="D98" s="131"/>
      <c r="E98" s="135"/>
    </row>
    <row r="99" spans="1:5">
      <c r="A99" s="127"/>
      <c r="B99" s="124"/>
      <c r="C99" s="124"/>
      <c r="D99" s="126"/>
      <c r="E99" s="134"/>
    </row>
    <row r="100" spans="1:5">
      <c r="A100" s="122"/>
      <c r="D100" s="131"/>
      <c r="E100" s="131"/>
    </row>
    <row r="101" spans="1:5">
      <c r="D101" s="131"/>
      <c r="E101" s="135"/>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K88"/>
  <sheetViews>
    <sheetView zoomScale="80" zoomScaleNormal="80" workbookViewId="0">
      <selection activeCell="G1" sqref="G1:K7"/>
    </sheetView>
  </sheetViews>
  <sheetFormatPr defaultRowHeight="12.75"/>
  <cols>
    <col min="1" max="1" width="31.7109375" style="123" customWidth="1"/>
    <col min="2" max="2" width="22.7109375" style="123" customWidth="1"/>
    <col min="3" max="3" width="36.7109375" style="123" customWidth="1"/>
    <col min="4" max="4" width="22.7109375" style="123" customWidth="1"/>
    <col min="5" max="5" width="25.7109375" style="167" customWidth="1"/>
    <col min="6" max="6" width="9.7109375" style="123" bestFit="1" customWidth="1"/>
    <col min="7" max="7" width="12.7109375" style="123" customWidth="1"/>
    <col min="8" max="8" width="19.140625" style="123" customWidth="1"/>
    <col min="9" max="9" width="10.42578125" style="123" customWidth="1"/>
    <col min="10" max="10" width="10.5703125" style="123" customWidth="1"/>
    <col min="11" max="11" width="10.7109375" style="123" customWidth="1"/>
    <col min="12" max="16384" width="9.140625" style="123"/>
  </cols>
  <sheetData>
    <row r="1" spans="1:11">
      <c r="A1" s="122" t="s">
        <v>147</v>
      </c>
      <c r="B1" s="122" t="s">
        <v>148</v>
      </c>
      <c r="C1" s="122" t="s">
        <v>149</v>
      </c>
      <c r="D1" s="122" t="s">
        <v>150</v>
      </c>
      <c r="E1" s="154" t="s">
        <v>151</v>
      </c>
      <c r="G1" s="38" t="s">
        <v>259</v>
      </c>
      <c r="H1" s="58" t="s">
        <v>334</v>
      </c>
      <c r="I1" s="40" t="s">
        <v>260</v>
      </c>
      <c r="J1" s="119" t="s">
        <v>262</v>
      </c>
      <c r="K1" s="39" t="s">
        <v>261</v>
      </c>
    </row>
    <row r="2" spans="1:11">
      <c r="A2" s="124" t="s">
        <v>366</v>
      </c>
      <c r="B2" s="125" t="s">
        <v>152</v>
      </c>
      <c r="C2" s="124" t="s">
        <v>15</v>
      </c>
      <c r="D2" s="126">
        <v>1.6</v>
      </c>
      <c r="E2" s="134">
        <v>42.86</v>
      </c>
      <c r="G2" s="13">
        <f>E27+E31+E32+E34+E35+E41+E48</f>
        <v>1930.62</v>
      </c>
      <c r="H2" s="59">
        <v>0</v>
      </c>
      <c r="I2" s="66">
        <v>0</v>
      </c>
      <c r="J2" s="166">
        <f>E55+E59</f>
        <v>1161.98</v>
      </c>
      <c r="K2" s="16">
        <v>0</v>
      </c>
    </row>
    <row r="3" spans="1:11">
      <c r="A3" s="124" t="s">
        <v>389</v>
      </c>
      <c r="B3" s="125" t="s">
        <v>152</v>
      </c>
      <c r="C3" s="124" t="s">
        <v>15</v>
      </c>
      <c r="D3" s="126">
        <v>0.17</v>
      </c>
      <c r="E3" s="134">
        <v>5.27</v>
      </c>
      <c r="G3" s="18"/>
      <c r="H3" t="s">
        <v>263</v>
      </c>
      <c r="I3" s="18"/>
      <c r="J3" s="18"/>
      <c r="K3" s="18"/>
    </row>
    <row r="4" spans="1:11">
      <c r="A4" s="124" t="s">
        <v>18</v>
      </c>
      <c r="B4" s="125" t="s">
        <v>152</v>
      </c>
      <c r="C4" s="124" t="s">
        <v>15</v>
      </c>
      <c r="D4" s="126">
        <v>2.87</v>
      </c>
      <c r="E4" s="134">
        <v>81.400000000000006</v>
      </c>
      <c r="G4" s="11"/>
      <c r="H4" s="11"/>
      <c r="I4" s="11"/>
      <c r="J4" s="11"/>
      <c r="K4" s="11"/>
    </row>
    <row r="5" spans="1:11">
      <c r="A5" s="124" t="s">
        <v>434</v>
      </c>
      <c r="B5" s="125">
        <v>400020</v>
      </c>
      <c r="C5" s="124" t="s">
        <v>98</v>
      </c>
      <c r="D5" s="126">
        <v>0.2</v>
      </c>
      <c r="E5" s="134">
        <v>6.43</v>
      </c>
      <c r="G5"/>
      <c r="H5" t="s">
        <v>461</v>
      </c>
      <c r="I5"/>
      <c r="J5"/>
      <c r="K5"/>
    </row>
    <row r="6" spans="1:11" ht="15">
      <c r="A6" s="124" t="s">
        <v>496</v>
      </c>
      <c r="B6" s="125" t="s">
        <v>152</v>
      </c>
      <c r="C6" s="124" t="s">
        <v>15</v>
      </c>
      <c r="D6" s="126">
        <v>3.17</v>
      </c>
      <c r="E6" s="134">
        <v>99.75</v>
      </c>
      <c r="G6"/>
      <c r="H6" s="157" t="s">
        <v>454</v>
      </c>
      <c r="I6"/>
      <c r="J6"/>
      <c r="K6"/>
    </row>
    <row r="7" spans="1:11" ht="15">
      <c r="A7" s="124" t="s">
        <v>377</v>
      </c>
      <c r="B7" s="125" t="s">
        <v>152</v>
      </c>
      <c r="C7" s="124" t="s">
        <v>15</v>
      </c>
      <c r="D7" s="126">
        <v>0.9</v>
      </c>
      <c r="E7" s="134">
        <v>30.11</v>
      </c>
      <c r="G7"/>
      <c r="H7" s="158" t="s">
        <v>455</v>
      </c>
      <c r="I7"/>
      <c r="J7"/>
      <c r="K7"/>
    </row>
    <row r="8" spans="1:11">
      <c r="A8" s="124" t="s">
        <v>469</v>
      </c>
      <c r="B8" s="125" t="s">
        <v>152</v>
      </c>
      <c r="C8" s="124" t="s">
        <v>15</v>
      </c>
      <c r="D8" s="126">
        <v>0.05</v>
      </c>
      <c r="E8" s="134">
        <v>1.39</v>
      </c>
    </row>
    <row r="9" spans="1:11">
      <c r="A9" s="127" t="s">
        <v>7</v>
      </c>
      <c r="B9" s="124"/>
      <c r="C9" s="124"/>
      <c r="D9" s="131">
        <f>SUM(D2:D8)</f>
        <v>8.9600000000000026</v>
      </c>
      <c r="E9" s="135">
        <f>SUM(E2:E8)</f>
        <v>267.20999999999998</v>
      </c>
    </row>
    <row r="10" spans="1:11">
      <c r="A10" s="127"/>
      <c r="B10" s="124"/>
      <c r="C10" s="124"/>
      <c r="D10" s="131"/>
      <c r="E10" s="135"/>
    </row>
    <row r="11" spans="1:11">
      <c r="A11" s="124" t="s">
        <v>470</v>
      </c>
      <c r="B11" s="125" t="s">
        <v>217</v>
      </c>
      <c r="C11" s="124" t="s">
        <v>218</v>
      </c>
      <c r="D11" s="126">
        <v>0.5</v>
      </c>
      <c r="E11" s="134">
        <v>14.42</v>
      </c>
      <c r="I11" s="193"/>
    </row>
    <row r="12" spans="1:11">
      <c r="A12" s="127" t="s">
        <v>7</v>
      </c>
      <c r="B12" s="124"/>
      <c r="C12" s="124"/>
      <c r="D12" s="131">
        <f>SUM(D11)</f>
        <v>0.5</v>
      </c>
      <c r="E12" s="135">
        <f>SUM(E11)</f>
        <v>14.42</v>
      </c>
    </row>
    <row r="13" spans="1:11">
      <c r="A13" s="127"/>
      <c r="B13" s="124"/>
      <c r="C13" s="124"/>
      <c r="D13" s="131"/>
      <c r="E13" s="135"/>
    </row>
    <row r="14" spans="1:11">
      <c r="A14" s="124" t="s">
        <v>497</v>
      </c>
      <c r="B14" s="125" t="s">
        <v>154</v>
      </c>
      <c r="C14" s="124" t="s">
        <v>23</v>
      </c>
      <c r="D14" s="126">
        <v>0.65</v>
      </c>
      <c r="E14" s="134">
        <v>21.8</v>
      </c>
    </row>
    <row r="15" spans="1:11">
      <c r="A15" s="124" t="s">
        <v>22</v>
      </c>
      <c r="B15" s="125" t="s">
        <v>154</v>
      </c>
      <c r="C15" s="124" t="s">
        <v>23</v>
      </c>
      <c r="D15" s="126">
        <v>0.22</v>
      </c>
      <c r="E15" s="134">
        <v>8.1300000000000008</v>
      </c>
    </row>
    <row r="16" spans="1:11">
      <c r="A16" s="124" t="s">
        <v>488</v>
      </c>
      <c r="B16" s="125" t="s">
        <v>154</v>
      </c>
      <c r="C16" s="124" t="s">
        <v>23</v>
      </c>
      <c r="D16" s="126">
        <v>0.53</v>
      </c>
      <c r="E16" s="134">
        <v>20</v>
      </c>
    </row>
    <row r="17" spans="1:6">
      <c r="A17" s="127" t="s">
        <v>7</v>
      </c>
      <c r="B17" s="124"/>
      <c r="C17" s="124"/>
      <c r="D17" s="131">
        <f>SUM(D14:D16)</f>
        <v>1.4</v>
      </c>
      <c r="E17" s="135">
        <f>SUM(E14:E16)</f>
        <v>49.93</v>
      </c>
    </row>
    <row r="18" spans="1:6">
      <c r="A18" s="127"/>
      <c r="B18" s="125"/>
      <c r="C18" s="124"/>
      <c r="D18" s="131"/>
      <c r="E18" s="135"/>
    </row>
    <row r="19" spans="1:6">
      <c r="A19" s="124" t="s">
        <v>415</v>
      </c>
      <c r="B19" s="125" t="s">
        <v>155</v>
      </c>
      <c r="C19" s="124" t="s">
        <v>196</v>
      </c>
      <c r="D19" s="126">
        <v>0.25</v>
      </c>
      <c r="E19" s="134">
        <v>8.2799999999999994</v>
      </c>
    </row>
    <row r="20" spans="1:6">
      <c r="A20" s="127" t="s">
        <v>7</v>
      </c>
      <c r="B20" s="125"/>
      <c r="C20" s="124"/>
      <c r="D20" s="131">
        <f>SUM(D19:D19)</f>
        <v>0.25</v>
      </c>
      <c r="E20" s="135">
        <f>SUM(E19:E19)</f>
        <v>8.2799999999999994</v>
      </c>
    </row>
    <row r="21" spans="1:6">
      <c r="A21" s="127"/>
      <c r="B21" s="125"/>
      <c r="C21" s="124"/>
      <c r="D21" s="131"/>
      <c r="E21" s="135"/>
    </row>
    <row r="22" spans="1:6">
      <c r="A22" s="124" t="s">
        <v>14</v>
      </c>
      <c r="B22" s="125" t="s">
        <v>156</v>
      </c>
      <c r="C22" s="124" t="s">
        <v>91</v>
      </c>
      <c r="D22" s="126">
        <v>0.15</v>
      </c>
      <c r="E22" s="134">
        <v>4.97</v>
      </c>
    </row>
    <row r="23" spans="1:6">
      <c r="A23" s="124" t="s">
        <v>335</v>
      </c>
      <c r="B23" s="125" t="s">
        <v>156</v>
      </c>
      <c r="C23" s="124" t="s">
        <v>91</v>
      </c>
      <c r="D23" s="126">
        <v>2.1</v>
      </c>
      <c r="E23" s="134">
        <v>65.52</v>
      </c>
    </row>
    <row r="24" spans="1:6">
      <c r="A24" s="127" t="s">
        <v>7</v>
      </c>
      <c r="B24" s="124"/>
      <c r="C24" s="124"/>
      <c r="D24" s="131">
        <f>SUM(D22:D23)</f>
        <v>2.25</v>
      </c>
      <c r="E24" s="135">
        <f>SUM(E22:E23)</f>
        <v>70.489999999999995</v>
      </c>
    </row>
    <row r="25" spans="1:6">
      <c r="A25" s="124"/>
      <c r="B25" s="124"/>
      <c r="C25" s="124"/>
      <c r="D25" s="126"/>
      <c r="E25" s="134"/>
    </row>
    <row r="26" spans="1:6">
      <c r="A26" s="124" t="s">
        <v>492</v>
      </c>
      <c r="B26" s="125" t="s">
        <v>157</v>
      </c>
      <c r="C26" s="124" t="s">
        <v>66</v>
      </c>
      <c r="D26" s="126">
        <v>2.4500000000000002</v>
      </c>
      <c r="E26" s="134">
        <v>58.8</v>
      </c>
    </row>
    <row r="27" spans="1:6">
      <c r="A27" s="140" t="s">
        <v>228</v>
      </c>
      <c r="B27" s="141" t="s">
        <v>157</v>
      </c>
      <c r="C27" s="140" t="s">
        <v>66</v>
      </c>
      <c r="D27" s="142">
        <v>8.1</v>
      </c>
      <c r="E27" s="143">
        <v>208.49</v>
      </c>
      <c r="F27" t="s">
        <v>481</v>
      </c>
    </row>
    <row r="28" spans="1:6">
      <c r="A28" s="124" t="s">
        <v>210</v>
      </c>
      <c r="B28" s="125" t="s">
        <v>157</v>
      </c>
      <c r="C28" s="124" t="s">
        <v>66</v>
      </c>
      <c r="D28" s="126">
        <v>1.07</v>
      </c>
      <c r="E28" s="134">
        <v>27.46</v>
      </c>
    </row>
    <row r="29" spans="1:6">
      <c r="A29" s="124" t="s">
        <v>472</v>
      </c>
      <c r="B29" s="125" t="s">
        <v>157</v>
      </c>
      <c r="C29" s="124" t="s">
        <v>66</v>
      </c>
      <c r="D29" s="126">
        <v>1.95</v>
      </c>
      <c r="E29" s="134">
        <v>46.8</v>
      </c>
    </row>
    <row r="30" spans="1:6">
      <c r="A30" s="124" t="s">
        <v>504</v>
      </c>
      <c r="B30" s="125" t="s">
        <v>157</v>
      </c>
      <c r="C30" s="124" t="s">
        <v>66</v>
      </c>
      <c r="D30" s="126">
        <v>0.75</v>
      </c>
      <c r="E30" s="134">
        <v>18.559999999999999</v>
      </c>
    </row>
    <row r="31" spans="1:6">
      <c r="A31" s="140" t="s">
        <v>464</v>
      </c>
      <c r="B31" s="141" t="s">
        <v>157</v>
      </c>
      <c r="C31" s="140" t="s">
        <v>66</v>
      </c>
      <c r="D31" s="142">
        <v>7.3</v>
      </c>
      <c r="E31" s="143">
        <v>175.2</v>
      </c>
      <c r="F31" t="s">
        <v>481</v>
      </c>
    </row>
    <row r="32" spans="1:6">
      <c r="A32" s="148" t="s">
        <v>429</v>
      </c>
      <c r="B32" s="149" t="s">
        <v>157</v>
      </c>
      <c r="C32" s="148" t="s">
        <v>66</v>
      </c>
      <c r="D32" s="150">
        <v>4.95</v>
      </c>
      <c r="E32" s="143">
        <v>129.94</v>
      </c>
      <c r="F32" t="s">
        <v>481</v>
      </c>
    </row>
    <row r="33" spans="1:6">
      <c r="A33" s="123" t="s">
        <v>407</v>
      </c>
      <c r="B33" s="132" t="s">
        <v>157</v>
      </c>
      <c r="C33" s="123" t="s">
        <v>66</v>
      </c>
      <c r="D33" s="133">
        <v>1.45</v>
      </c>
      <c r="E33" s="134">
        <v>36.26</v>
      </c>
    </row>
    <row r="34" spans="1:6">
      <c r="A34" s="148" t="s">
        <v>328</v>
      </c>
      <c r="B34" s="149" t="s">
        <v>157</v>
      </c>
      <c r="C34" s="148" t="s">
        <v>66</v>
      </c>
      <c r="D34" s="150">
        <v>18.05</v>
      </c>
      <c r="E34" s="143">
        <v>492.77</v>
      </c>
      <c r="F34" t="s">
        <v>481</v>
      </c>
    </row>
    <row r="35" spans="1:6">
      <c r="A35" s="148" t="s">
        <v>458</v>
      </c>
      <c r="B35" s="149" t="s">
        <v>157</v>
      </c>
      <c r="C35" s="148" t="s">
        <v>66</v>
      </c>
      <c r="D35" s="150">
        <v>5.55</v>
      </c>
      <c r="E35" s="143">
        <v>145.69</v>
      </c>
      <c r="F35" t="s">
        <v>481</v>
      </c>
    </row>
    <row r="36" spans="1:6">
      <c r="A36" s="124" t="s">
        <v>422</v>
      </c>
      <c r="B36" s="125" t="s">
        <v>157</v>
      </c>
      <c r="C36" s="124" t="s">
        <v>66</v>
      </c>
      <c r="D36" s="126">
        <v>0.75</v>
      </c>
      <c r="E36" s="134">
        <v>22.59</v>
      </c>
    </row>
    <row r="37" spans="1:6">
      <c r="A37" s="123" t="s">
        <v>79</v>
      </c>
      <c r="B37" s="132" t="s">
        <v>157</v>
      </c>
      <c r="C37" s="123" t="s">
        <v>66</v>
      </c>
      <c r="D37" s="123">
        <v>1.52</v>
      </c>
      <c r="E37" s="134">
        <v>37.86</v>
      </c>
    </row>
    <row r="38" spans="1:6">
      <c r="A38" s="123" t="s">
        <v>375</v>
      </c>
      <c r="B38" s="132" t="s">
        <v>157</v>
      </c>
      <c r="C38" s="123" t="s">
        <v>66</v>
      </c>
      <c r="D38" s="123">
        <v>0.55000000000000004</v>
      </c>
      <c r="E38" s="134">
        <v>14.03</v>
      </c>
    </row>
    <row r="39" spans="1:6">
      <c r="A39" s="127" t="s">
        <v>7</v>
      </c>
      <c r="B39" s="124"/>
      <c r="C39" s="124"/>
      <c r="D39" s="131">
        <f>SUM(D26:D38)</f>
        <v>54.44</v>
      </c>
      <c r="E39" s="135">
        <f>SUM(E26:E38)</f>
        <v>1414.4499999999998</v>
      </c>
    </row>
    <row r="40" spans="1:6">
      <c r="A40" s="127"/>
      <c r="B40" s="124"/>
      <c r="C40" s="124"/>
      <c r="D40" s="131"/>
      <c r="E40" s="135"/>
    </row>
    <row r="41" spans="1:6">
      <c r="A41" s="140" t="s">
        <v>163</v>
      </c>
      <c r="B41" s="141" t="s">
        <v>162</v>
      </c>
      <c r="C41" s="140" t="s">
        <v>51</v>
      </c>
      <c r="D41" s="142">
        <v>19.48</v>
      </c>
      <c r="E41" s="143">
        <v>642.95000000000005</v>
      </c>
      <c r="F41" t="s">
        <v>481</v>
      </c>
    </row>
    <row r="42" spans="1:6">
      <c r="A42" s="127" t="s">
        <v>7</v>
      </c>
      <c r="B42" s="125"/>
      <c r="C42" s="124"/>
      <c r="D42" s="131">
        <f>SUM(D41:D41)</f>
        <v>19.48</v>
      </c>
      <c r="E42" s="135">
        <f>SUM(E41:E41)</f>
        <v>642.95000000000005</v>
      </c>
    </row>
    <row r="43" spans="1:6">
      <c r="A43" s="127"/>
      <c r="B43" s="124"/>
      <c r="C43" s="124"/>
      <c r="D43" s="131"/>
      <c r="E43" s="135"/>
    </row>
    <row r="44" spans="1:6">
      <c r="A44" s="124" t="s">
        <v>64</v>
      </c>
      <c r="B44" s="125" t="s">
        <v>164</v>
      </c>
      <c r="C44" s="124" t="s">
        <v>60</v>
      </c>
      <c r="D44" s="126">
        <v>0.77</v>
      </c>
      <c r="E44" s="134">
        <v>17.25</v>
      </c>
    </row>
    <row r="45" spans="1:6">
      <c r="A45" s="127" t="s">
        <v>7</v>
      </c>
      <c r="B45" s="124"/>
      <c r="C45" s="124"/>
      <c r="D45" s="131">
        <f>SUM(D44:D44)</f>
        <v>0.77</v>
      </c>
      <c r="E45" s="135">
        <f>SUM(E44:E44)</f>
        <v>17.25</v>
      </c>
    </row>
    <row r="46" spans="1:6">
      <c r="A46" s="127"/>
      <c r="B46" s="124"/>
      <c r="C46" s="124"/>
      <c r="D46" s="131"/>
      <c r="E46" s="135"/>
    </row>
    <row r="47" spans="1:6">
      <c r="A47" s="124" t="s">
        <v>421</v>
      </c>
      <c r="B47" s="125" t="s">
        <v>167</v>
      </c>
      <c r="C47" s="124" t="s">
        <v>54</v>
      </c>
      <c r="D47" s="126">
        <v>0.63</v>
      </c>
      <c r="E47" s="134">
        <v>17.440000000000001</v>
      </c>
    </row>
    <row r="48" spans="1:6">
      <c r="A48" s="140" t="s">
        <v>292</v>
      </c>
      <c r="B48" s="141" t="s">
        <v>167</v>
      </c>
      <c r="C48" s="140" t="s">
        <v>54</v>
      </c>
      <c r="D48" s="142">
        <v>5.32</v>
      </c>
      <c r="E48" s="143">
        <v>135.58000000000001</v>
      </c>
      <c r="F48" t="s">
        <v>481</v>
      </c>
    </row>
    <row r="49" spans="1:6">
      <c r="A49" s="124" t="s">
        <v>159</v>
      </c>
      <c r="B49" s="125" t="s">
        <v>167</v>
      </c>
      <c r="C49" s="124" t="s">
        <v>54</v>
      </c>
      <c r="D49" s="126">
        <v>0.22</v>
      </c>
      <c r="E49" s="134">
        <v>5.53</v>
      </c>
    </row>
    <row r="50" spans="1:6">
      <c r="A50" s="127" t="s">
        <v>7</v>
      </c>
      <c r="B50" s="125"/>
      <c r="C50" s="124"/>
      <c r="D50" s="131">
        <f>SUM(D47:D49)</f>
        <v>6.17</v>
      </c>
      <c r="E50" s="135">
        <f>SUM(E47:E49)</f>
        <v>158.55000000000001</v>
      </c>
    </row>
    <row r="51" spans="1:6">
      <c r="A51" s="127"/>
      <c r="B51" s="125"/>
      <c r="C51" s="124"/>
      <c r="D51" s="131"/>
      <c r="E51" s="135"/>
    </row>
    <row r="52" spans="1:6">
      <c r="A52" s="124" t="s">
        <v>480</v>
      </c>
      <c r="B52" s="125" t="s">
        <v>240</v>
      </c>
      <c r="C52" s="124" t="s">
        <v>241</v>
      </c>
      <c r="D52" s="126">
        <v>2.2999999999999998</v>
      </c>
      <c r="E52" s="134">
        <v>74.62</v>
      </c>
    </row>
    <row r="53" spans="1:6">
      <c r="A53" s="127" t="s">
        <v>7</v>
      </c>
      <c r="B53" s="125"/>
      <c r="C53" s="124"/>
      <c r="D53" s="131">
        <f>SUM(D52)</f>
        <v>2.2999999999999998</v>
      </c>
      <c r="E53" s="135">
        <f>SUM(E52)</f>
        <v>74.62</v>
      </c>
    </row>
    <row r="54" spans="1:6">
      <c r="A54" s="127"/>
      <c r="B54" s="125"/>
      <c r="C54" s="124"/>
      <c r="D54" s="131"/>
      <c r="E54" s="135"/>
    </row>
    <row r="55" spans="1:6">
      <c r="A55" s="195" t="s">
        <v>459</v>
      </c>
      <c r="B55" s="196" t="s">
        <v>171</v>
      </c>
      <c r="C55" s="195" t="s">
        <v>25</v>
      </c>
      <c r="D55" s="197">
        <v>12.07</v>
      </c>
      <c r="E55" s="198">
        <v>380.1</v>
      </c>
      <c r="F55" t="s">
        <v>481</v>
      </c>
    </row>
    <row r="56" spans="1:6">
      <c r="A56" s="124" t="s">
        <v>493</v>
      </c>
      <c r="B56" s="125" t="s">
        <v>171</v>
      </c>
      <c r="C56" s="124" t="s">
        <v>25</v>
      </c>
      <c r="D56" s="126">
        <v>0.72</v>
      </c>
      <c r="E56" s="134">
        <v>22.58</v>
      </c>
    </row>
    <row r="57" spans="1:6">
      <c r="A57" s="124" t="s">
        <v>505</v>
      </c>
      <c r="B57" s="125" t="s">
        <v>171</v>
      </c>
      <c r="C57" s="124" t="s">
        <v>25</v>
      </c>
      <c r="D57" s="126">
        <v>1.07</v>
      </c>
      <c r="E57" s="134">
        <v>33.6</v>
      </c>
    </row>
    <row r="58" spans="1:6">
      <c r="A58" s="124" t="s">
        <v>500</v>
      </c>
      <c r="B58" s="125" t="s">
        <v>171</v>
      </c>
      <c r="C58" s="124" t="s">
        <v>25</v>
      </c>
      <c r="D58" s="126">
        <v>0.18</v>
      </c>
      <c r="E58" s="134">
        <v>5.5</v>
      </c>
    </row>
    <row r="59" spans="1:6">
      <c r="A59" s="195" t="s">
        <v>487</v>
      </c>
      <c r="B59" s="196" t="s">
        <v>171</v>
      </c>
      <c r="C59" s="195" t="s">
        <v>25</v>
      </c>
      <c r="D59" s="197">
        <v>23.17</v>
      </c>
      <c r="E59" s="198">
        <v>781.88</v>
      </c>
      <c r="F59" t="s">
        <v>481</v>
      </c>
    </row>
    <row r="60" spans="1:6">
      <c r="A60" s="124" t="s">
        <v>397</v>
      </c>
      <c r="B60" s="125" t="s">
        <v>171</v>
      </c>
      <c r="C60" s="124" t="s">
        <v>25</v>
      </c>
      <c r="D60" s="126">
        <v>0.67</v>
      </c>
      <c r="E60" s="134">
        <v>21.08</v>
      </c>
    </row>
    <row r="61" spans="1:6">
      <c r="A61" s="124" t="s">
        <v>494</v>
      </c>
      <c r="B61" s="125" t="s">
        <v>171</v>
      </c>
      <c r="C61" s="124" t="s">
        <v>25</v>
      </c>
      <c r="D61" s="126">
        <v>3.62</v>
      </c>
      <c r="E61" s="134">
        <v>141.05000000000001</v>
      </c>
    </row>
    <row r="62" spans="1:6">
      <c r="A62" s="127" t="s">
        <v>7</v>
      </c>
      <c r="B62" s="124"/>
      <c r="C62" s="124"/>
      <c r="D62" s="131">
        <f>SUM(D55:D61)</f>
        <v>41.5</v>
      </c>
      <c r="E62" s="135">
        <f>SUM(E55:E61)</f>
        <v>1385.79</v>
      </c>
    </row>
    <row r="63" spans="1:6">
      <c r="A63" s="127"/>
      <c r="B63" s="124"/>
      <c r="C63" s="124"/>
      <c r="D63" s="131"/>
      <c r="E63" s="135"/>
    </row>
    <row r="64" spans="1:6">
      <c r="A64" s="124" t="s">
        <v>37</v>
      </c>
      <c r="B64" s="125">
        <v>100051</v>
      </c>
      <c r="C64" s="124" t="s">
        <v>34</v>
      </c>
      <c r="D64" s="126">
        <v>2</v>
      </c>
      <c r="E64" s="134">
        <v>51</v>
      </c>
    </row>
    <row r="65" spans="1:6">
      <c r="A65" s="124" t="s">
        <v>213</v>
      </c>
      <c r="B65" s="125">
        <v>100051</v>
      </c>
      <c r="C65" s="124" t="s">
        <v>34</v>
      </c>
      <c r="D65" s="126">
        <v>2</v>
      </c>
      <c r="E65" s="134">
        <v>48</v>
      </c>
    </row>
    <row r="66" spans="1:6">
      <c r="A66" s="127" t="s">
        <v>7</v>
      </c>
      <c r="B66" s="124"/>
      <c r="C66" s="124"/>
      <c r="D66" s="131">
        <f>SUM(D64:D65)</f>
        <v>4</v>
      </c>
      <c r="E66" s="135">
        <f>SUM(E64:E65)</f>
        <v>99</v>
      </c>
    </row>
    <row r="67" spans="1:6">
      <c r="A67" s="127"/>
      <c r="B67" s="124"/>
      <c r="C67" s="124"/>
      <c r="D67" s="126"/>
      <c r="E67" s="134"/>
    </row>
    <row r="68" spans="1:6">
      <c r="A68" s="124" t="s">
        <v>475</v>
      </c>
      <c r="B68" s="124" t="s">
        <v>476</v>
      </c>
      <c r="C68" s="124" t="s">
        <v>477</v>
      </c>
      <c r="D68" s="126">
        <v>0.72</v>
      </c>
      <c r="E68" s="134">
        <v>25.84</v>
      </c>
    </row>
    <row r="69" spans="1:6">
      <c r="A69" s="127" t="s">
        <v>7</v>
      </c>
      <c r="B69" s="124"/>
      <c r="C69" s="124"/>
      <c r="D69" s="131">
        <f>SUM(D68)</f>
        <v>0.72</v>
      </c>
      <c r="E69" s="135">
        <f>SUM(E68)</f>
        <v>25.84</v>
      </c>
    </row>
    <row r="70" spans="1:6">
      <c r="A70" s="127"/>
      <c r="B70" s="124"/>
      <c r="C70" s="124"/>
      <c r="D70" s="131"/>
      <c r="E70" s="135"/>
    </row>
    <row r="71" spans="1:6">
      <c r="A71" s="122" t="s">
        <v>194</v>
      </c>
      <c r="D71" s="131">
        <f>D69+D66+D62+D53+D50+D45+D42+D39+D24+D20+D17+D12+D9</f>
        <v>142.74</v>
      </c>
      <c r="E71" s="131">
        <f>E69+E66+E62+E53+E50+E45+E42+E39+E24+E20+E17+E12+E9</f>
        <v>4228.78</v>
      </c>
      <c r="F71" s="194"/>
    </row>
    <row r="72" spans="1:6">
      <c r="A72" s="127"/>
      <c r="B72" s="124"/>
      <c r="C72" s="124"/>
      <c r="D72" s="131"/>
      <c r="E72" s="135"/>
    </row>
    <row r="73" spans="1:6">
      <c r="A73" s="124"/>
      <c r="B73" s="124"/>
      <c r="C73" s="124"/>
      <c r="D73" s="126"/>
      <c r="E73" s="134"/>
    </row>
    <row r="74" spans="1:6">
      <c r="A74" s="124"/>
      <c r="B74" s="124"/>
      <c r="C74" s="124"/>
      <c r="D74" s="126"/>
      <c r="E74" s="134"/>
    </row>
    <row r="75" spans="1:6">
      <c r="A75" s="127"/>
      <c r="B75" s="124"/>
      <c r="C75" s="124"/>
      <c r="D75" s="131"/>
      <c r="E75" s="135"/>
    </row>
    <row r="76" spans="1:6">
      <c r="A76" s="127"/>
      <c r="B76" s="124"/>
      <c r="C76" s="124"/>
      <c r="D76" s="131"/>
      <c r="E76" s="135"/>
    </row>
    <row r="77" spans="1:6">
      <c r="A77" s="124"/>
      <c r="B77" s="124"/>
      <c r="C77" s="124"/>
      <c r="D77" s="126"/>
      <c r="E77" s="134"/>
    </row>
    <row r="78" spans="1:6">
      <c r="A78" s="127"/>
      <c r="B78" s="124"/>
      <c r="C78" s="124"/>
      <c r="D78" s="131"/>
      <c r="E78" s="135"/>
    </row>
    <row r="79" spans="1:6">
      <c r="A79" s="127"/>
      <c r="B79" s="124"/>
      <c r="C79" s="124"/>
      <c r="D79" s="131"/>
      <c r="E79" s="135"/>
    </row>
    <row r="80" spans="1:6">
      <c r="A80" s="124"/>
      <c r="B80" s="124"/>
      <c r="C80" s="124"/>
      <c r="D80" s="126"/>
      <c r="E80" s="134"/>
    </row>
    <row r="81" spans="1:5">
      <c r="A81" s="127"/>
      <c r="B81" s="124"/>
      <c r="C81" s="124"/>
      <c r="D81" s="131"/>
      <c r="E81" s="135"/>
    </row>
    <row r="82" spans="1:5">
      <c r="A82" s="127"/>
      <c r="B82" s="124"/>
      <c r="C82" s="124"/>
      <c r="D82" s="131"/>
      <c r="E82" s="135"/>
    </row>
    <row r="83" spans="1:5">
      <c r="A83" s="124"/>
      <c r="B83" s="124"/>
      <c r="C83" s="124"/>
      <c r="D83" s="126"/>
      <c r="E83" s="134"/>
    </row>
    <row r="84" spans="1:5">
      <c r="A84" s="124"/>
      <c r="B84" s="124"/>
      <c r="C84" s="124"/>
      <c r="D84" s="126"/>
      <c r="E84" s="134"/>
    </row>
    <row r="85" spans="1:5">
      <c r="A85" s="127"/>
      <c r="B85" s="124"/>
      <c r="C85" s="124"/>
      <c r="D85" s="131"/>
      <c r="E85" s="135"/>
    </row>
    <row r="86" spans="1:5">
      <c r="A86" s="127"/>
      <c r="B86" s="124"/>
      <c r="C86" s="124"/>
      <c r="D86" s="126"/>
      <c r="E86" s="134"/>
    </row>
    <row r="87" spans="1:5">
      <c r="A87" s="122"/>
      <c r="D87" s="131"/>
      <c r="E87" s="131"/>
    </row>
    <row r="88" spans="1:5">
      <c r="D88" s="131"/>
      <c r="E88" s="135"/>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K104"/>
  <sheetViews>
    <sheetView zoomScale="90" zoomScaleNormal="90" workbookViewId="0">
      <selection activeCell="J21" sqref="J21"/>
    </sheetView>
  </sheetViews>
  <sheetFormatPr defaultRowHeight="12.75"/>
  <cols>
    <col min="1" max="1" width="31.7109375" style="123" customWidth="1"/>
    <col min="2" max="2" width="22.7109375" style="123" customWidth="1"/>
    <col min="3" max="3" width="36.7109375" style="123" customWidth="1"/>
    <col min="4" max="4" width="22.7109375" style="123" customWidth="1"/>
    <col min="5" max="5" width="25.7109375" style="167" customWidth="1"/>
    <col min="6" max="6" width="9.7109375" style="123" bestFit="1" customWidth="1"/>
    <col min="7" max="7" width="13.7109375" style="123" bestFit="1" customWidth="1"/>
    <col min="8" max="8" width="15.5703125" style="123" customWidth="1"/>
    <col min="9" max="9" width="9.5703125" style="123" bestFit="1" customWidth="1"/>
    <col min="10" max="10" width="14.28515625" style="123" bestFit="1" customWidth="1"/>
    <col min="11" max="16384" width="9.140625" style="123"/>
  </cols>
  <sheetData>
    <row r="1" spans="1:11">
      <c r="A1" s="122" t="s">
        <v>147</v>
      </c>
      <c r="B1" s="122" t="s">
        <v>148</v>
      </c>
      <c r="C1" s="122" t="s">
        <v>149</v>
      </c>
      <c r="D1" s="122" t="s">
        <v>150</v>
      </c>
      <c r="E1" s="154" t="s">
        <v>151</v>
      </c>
      <c r="G1" s="38" t="s">
        <v>259</v>
      </c>
      <c r="H1" s="58" t="s">
        <v>334</v>
      </c>
      <c r="I1" s="40" t="s">
        <v>260</v>
      </c>
      <c r="J1" s="119" t="s">
        <v>262</v>
      </c>
      <c r="K1" s="39" t="s">
        <v>261</v>
      </c>
    </row>
    <row r="2" spans="1:11">
      <c r="A2" s="124" t="s">
        <v>506</v>
      </c>
      <c r="B2" s="125" t="s">
        <v>152</v>
      </c>
      <c r="C2" s="124" t="s">
        <v>15</v>
      </c>
      <c r="D2" s="126">
        <v>1.98</v>
      </c>
      <c r="E2" s="134">
        <v>65.45</v>
      </c>
      <c r="G2" s="13">
        <f>E27+E28+E29+E36+E37++E38+E40+E41+E42+E44+E45+E48+E51+E59+E79+E81</f>
        <v>5352.5700000000006</v>
      </c>
      <c r="H2" s="59">
        <v>0</v>
      </c>
      <c r="I2" s="66">
        <v>0</v>
      </c>
      <c r="J2" s="166">
        <f>E65+E71</f>
        <v>1289.33</v>
      </c>
      <c r="K2" s="16">
        <v>0</v>
      </c>
    </row>
    <row r="3" spans="1:11">
      <c r="A3" s="124" t="s">
        <v>366</v>
      </c>
      <c r="B3" s="125" t="s">
        <v>152</v>
      </c>
      <c r="C3" s="124" t="s">
        <v>15</v>
      </c>
      <c r="D3" s="126">
        <v>1.05</v>
      </c>
      <c r="E3" s="134">
        <v>28.13</v>
      </c>
      <c r="G3" s="18"/>
      <c r="H3" t="s">
        <v>263</v>
      </c>
      <c r="I3" s="18"/>
      <c r="J3" s="18"/>
      <c r="K3" s="18"/>
    </row>
    <row r="4" spans="1:11">
      <c r="A4" s="124" t="s">
        <v>389</v>
      </c>
      <c r="B4" s="125" t="s">
        <v>152</v>
      </c>
      <c r="C4" s="124" t="s">
        <v>15</v>
      </c>
      <c r="D4" s="126">
        <v>1.25</v>
      </c>
      <c r="E4" s="134">
        <v>39.49</v>
      </c>
      <c r="G4" s="11"/>
      <c r="H4" s="11"/>
      <c r="I4" s="11"/>
      <c r="J4" s="11"/>
      <c r="K4" s="11"/>
    </row>
    <row r="5" spans="1:11">
      <c r="A5" s="124" t="s">
        <v>18</v>
      </c>
      <c r="B5" s="125" t="s">
        <v>152</v>
      </c>
      <c r="C5" s="124" t="s">
        <v>15</v>
      </c>
      <c r="D5" s="126">
        <v>1.53</v>
      </c>
      <c r="E5" s="134">
        <v>43.54</v>
      </c>
      <c r="G5"/>
      <c r="H5" t="s">
        <v>461</v>
      </c>
      <c r="I5"/>
      <c r="J5"/>
      <c r="K5"/>
    </row>
    <row r="6" spans="1:11" ht="15">
      <c r="A6" s="124" t="s">
        <v>496</v>
      </c>
      <c r="B6" s="125" t="s">
        <v>152</v>
      </c>
      <c r="C6" s="124" t="s">
        <v>15</v>
      </c>
      <c r="D6" s="126">
        <v>2.2799999999999998</v>
      </c>
      <c r="E6" s="134">
        <v>71.930000000000007</v>
      </c>
      <c r="G6"/>
      <c r="H6" s="157" t="s">
        <v>454</v>
      </c>
      <c r="I6"/>
      <c r="J6"/>
      <c r="K6"/>
    </row>
    <row r="7" spans="1:11" ht="15">
      <c r="A7" s="124" t="s">
        <v>377</v>
      </c>
      <c r="B7" s="125" t="s">
        <v>152</v>
      </c>
      <c r="C7" s="124" t="s">
        <v>15</v>
      </c>
      <c r="D7" s="126">
        <v>2.95</v>
      </c>
      <c r="E7" s="134">
        <v>98.68</v>
      </c>
      <c r="G7"/>
      <c r="H7" s="158" t="s">
        <v>455</v>
      </c>
      <c r="I7"/>
      <c r="J7"/>
      <c r="K7"/>
    </row>
    <row r="8" spans="1:11">
      <c r="A8" s="124" t="s">
        <v>469</v>
      </c>
      <c r="B8" s="125" t="s">
        <v>152</v>
      </c>
      <c r="C8" s="124" t="s">
        <v>15</v>
      </c>
      <c r="D8" s="126">
        <v>0.52</v>
      </c>
      <c r="E8" s="134">
        <v>14.34</v>
      </c>
    </row>
    <row r="9" spans="1:11">
      <c r="A9" s="127" t="s">
        <v>7</v>
      </c>
      <c r="B9" s="124"/>
      <c r="C9" s="124"/>
      <c r="D9" s="131">
        <f>SUM(D2:D8)</f>
        <v>11.559999999999999</v>
      </c>
      <c r="E9" s="135">
        <f>SUM(E2:E8)</f>
        <v>361.56</v>
      </c>
    </row>
    <row r="10" spans="1:11">
      <c r="A10" s="127"/>
      <c r="B10" s="124"/>
      <c r="C10" s="124"/>
      <c r="D10" s="131"/>
      <c r="E10" s="135"/>
    </row>
    <row r="11" spans="1:11">
      <c r="A11" s="124" t="s">
        <v>470</v>
      </c>
      <c r="B11" s="125" t="s">
        <v>217</v>
      </c>
      <c r="C11" s="124" t="s">
        <v>218</v>
      </c>
      <c r="D11" s="126">
        <v>1.28</v>
      </c>
      <c r="E11" s="134">
        <v>37.020000000000003</v>
      </c>
      <c r="I11" s="193"/>
    </row>
    <row r="12" spans="1:11">
      <c r="A12" s="127" t="s">
        <v>7</v>
      </c>
      <c r="B12" s="124"/>
      <c r="C12" s="124"/>
      <c r="D12" s="131">
        <f>SUM(D11)</f>
        <v>1.28</v>
      </c>
      <c r="E12" s="135">
        <f>SUM(E11)</f>
        <v>37.020000000000003</v>
      </c>
    </row>
    <row r="13" spans="1:11">
      <c r="A13" s="127"/>
      <c r="B13" s="124"/>
      <c r="C13" s="124"/>
      <c r="D13" s="131"/>
      <c r="E13" s="135"/>
    </row>
    <row r="14" spans="1:11">
      <c r="A14" s="124" t="s">
        <v>497</v>
      </c>
      <c r="B14" s="125" t="s">
        <v>154</v>
      </c>
      <c r="C14" s="124" t="s">
        <v>23</v>
      </c>
      <c r="D14" s="126">
        <v>1.17</v>
      </c>
      <c r="E14" s="134">
        <v>39.130000000000003</v>
      </c>
    </row>
    <row r="15" spans="1:11">
      <c r="A15" s="124" t="s">
        <v>488</v>
      </c>
      <c r="B15" s="125" t="s">
        <v>154</v>
      </c>
      <c r="C15" s="124" t="s">
        <v>23</v>
      </c>
      <c r="D15" s="126">
        <v>7.0000000000000007E-2</v>
      </c>
      <c r="E15" s="134">
        <v>2.5</v>
      </c>
    </row>
    <row r="16" spans="1:11">
      <c r="A16" s="127" t="s">
        <v>7</v>
      </c>
      <c r="B16" s="124"/>
      <c r="C16" s="124"/>
      <c r="D16" s="131">
        <f>SUM(D14:D15)</f>
        <v>1.24</v>
      </c>
      <c r="E16" s="135">
        <f>SUM(E14:E15)</f>
        <v>41.63</v>
      </c>
    </row>
    <row r="17" spans="1:6">
      <c r="A17" s="127"/>
      <c r="B17" s="125"/>
      <c r="C17" s="124"/>
      <c r="D17" s="131"/>
      <c r="E17" s="135"/>
    </row>
    <row r="18" spans="1:6">
      <c r="A18" s="124" t="s">
        <v>471</v>
      </c>
      <c r="B18" s="125" t="s">
        <v>155</v>
      </c>
      <c r="C18" s="124" t="s">
        <v>196</v>
      </c>
      <c r="D18" s="126">
        <v>7.0000000000000007E-2</v>
      </c>
      <c r="E18" s="134">
        <v>2.2999999999999998</v>
      </c>
    </row>
    <row r="19" spans="1:6">
      <c r="A19" s="124" t="s">
        <v>415</v>
      </c>
      <c r="B19" s="125" t="s">
        <v>155</v>
      </c>
      <c r="C19" s="124" t="s">
        <v>196</v>
      </c>
      <c r="D19" s="126">
        <v>0.02</v>
      </c>
      <c r="E19" s="134">
        <v>0.55000000000000004</v>
      </c>
    </row>
    <row r="20" spans="1:6">
      <c r="A20" s="127" t="s">
        <v>7</v>
      </c>
      <c r="B20" s="125"/>
      <c r="C20" s="124"/>
      <c r="D20" s="131">
        <f>SUM(D18:D19)</f>
        <v>9.0000000000000011E-2</v>
      </c>
      <c r="E20" s="135">
        <f>SUM(E18:E19)</f>
        <v>2.8499999999999996</v>
      </c>
    </row>
    <row r="21" spans="1:6">
      <c r="A21" s="127"/>
      <c r="B21" s="125"/>
      <c r="C21" s="124"/>
      <c r="D21" s="131"/>
      <c r="E21" s="135"/>
    </row>
    <row r="22" spans="1:6">
      <c r="A22" s="124" t="s">
        <v>14</v>
      </c>
      <c r="B22" s="125" t="s">
        <v>156</v>
      </c>
      <c r="C22" s="124" t="s">
        <v>91</v>
      </c>
      <c r="D22" s="126">
        <v>7.0000000000000007E-2</v>
      </c>
      <c r="E22" s="134">
        <v>2.21</v>
      </c>
    </row>
    <row r="23" spans="1:6">
      <c r="A23" s="124" t="s">
        <v>335</v>
      </c>
      <c r="B23" s="125" t="s">
        <v>156</v>
      </c>
      <c r="C23" s="124" t="s">
        <v>91</v>
      </c>
      <c r="D23" s="126">
        <v>1.18</v>
      </c>
      <c r="E23" s="134">
        <v>36.92</v>
      </c>
    </row>
    <row r="24" spans="1:6">
      <c r="A24" s="124" t="s">
        <v>507</v>
      </c>
      <c r="B24" s="125" t="s">
        <v>156</v>
      </c>
      <c r="C24" s="124" t="s">
        <v>91</v>
      </c>
      <c r="D24" s="126">
        <v>0.23</v>
      </c>
      <c r="E24" s="134">
        <v>6.48</v>
      </c>
    </row>
    <row r="25" spans="1:6">
      <c r="A25" s="127" t="s">
        <v>7</v>
      </c>
      <c r="B25" s="124"/>
      <c r="C25" s="124"/>
      <c r="D25" s="131">
        <f>SUM(D22:D24)</f>
        <v>1.48</v>
      </c>
      <c r="E25" s="135">
        <f>SUM(E22:E24)</f>
        <v>45.61</v>
      </c>
    </row>
    <row r="26" spans="1:6">
      <c r="A26" s="124"/>
      <c r="B26" s="124"/>
      <c r="C26" s="124"/>
      <c r="D26" s="126"/>
      <c r="E26" s="134"/>
    </row>
    <row r="27" spans="1:6">
      <c r="A27" s="140" t="s">
        <v>492</v>
      </c>
      <c r="B27" s="141" t="s">
        <v>157</v>
      </c>
      <c r="C27" s="140" t="s">
        <v>66</v>
      </c>
      <c r="D27" s="142">
        <v>6.43</v>
      </c>
      <c r="E27" s="143">
        <v>154.4</v>
      </c>
      <c r="F27" s="123" t="s">
        <v>508</v>
      </c>
    </row>
    <row r="28" spans="1:6">
      <c r="A28" s="140" t="s">
        <v>228</v>
      </c>
      <c r="B28" s="141" t="s">
        <v>157</v>
      </c>
      <c r="C28" s="140" t="s">
        <v>66</v>
      </c>
      <c r="D28" s="142">
        <v>9.6300000000000008</v>
      </c>
      <c r="E28" s="143">
        <v>247.96</v>
      </c>
      <c r="F28" s="123" t="s">
        <v>508</v>
      </c>
    </row>
    <row r="29" spans="1:6">
      <c r="A29" s="140" t="s">
        <v>509</v>
      </c>
      <c r="B29" s="141" t="s">
        <v>157</v>
      </c>
      <c r="C29" s="140" t="s">
        <v>66</v>
      </c>
      <c r="D29" s="142">
        <v>6.6</v>
      </c>
      <c r="E29" s="143">
        <v>158.4</v>
      </c>
      <c r="F29" s="123" t="s">
        <v>508</v>
      </c>
    </row>
    <row r="30" spans="1:6">
      <c r="A30" s="124" t="s">
        <v>210</v>
      </c>
      <c r="B30" s="125" t="s">
        <v>157</v>
      </c>
      <c r="C30" s="124" t="s">
        <v>66</v>
      </c>
      <c r="D30" s="126">
        <v>0.6</v>
      </c>
      <c r="E30" s="134">
        <v>15.44</v>
      </c>
    </row>
    <row r="31" spans="1:6">
      <c r="A31" s="124" t="s">
        <v>472</v>
      </c>
      <c r="B31" s="125" t="s">
        <v>157</v>
      </c>
      <c r="C31" s="124" t="s">
        <v>66</v>
      </c>
      <c r="D31" s="126">
        <v>3.78</v>
      </c>
      <c r="E31" s="134">
        <v>90.8</v>
      </c>
    </row>
    <row r="32" spans="1:6">
      <c r="A32" s="124" t="s">
        <v>504</v>
      </c>
      <c r="B32" s="125" t="s">
        <v>157</v>
      </c>
      <c r="C32" s="124" t="s">
        <v>66</v>
      </c>
      <c r="D32" s="126">
        <v>0.33</v>
      </c>
      <c r="E32" s="134">
        <v>8.25</v>
      </c>
    </row>
    <row r="33" spans="1:7">
      <c r="A33" s="124" t="s">
        <v>86</v>
      </c>
      <c r="B33" s="125" t="s">
        <v>157</v>
      </c>
      <c r="C33" s="124" t="s">
        <v>66</v>
      </c>
      <c r="D33" s="126">
        <v>0.52</v>
      </c>
      <c r="E33" s="134">
        <v>14.34</v>
      </c>
    </row>
    <row r="34" spans="1:7">
      <c r="A34" s="124" t="s">
        <v>464</v>
      </c>
      <c r="B34" s="125" t="s">
        <v>157</v>
      </c>
      <c r="C34" s="124" t="s">
        <v>66</v>
      </c>
      <c r="D34" s="126">
        <v>2.33</v>
      </c>
      <c r="E34" s="134">
        <v>56</v>
      </c>
    </row>
    <row r="35" spans="1:7">
      <c r="A35" s="123" t="s">
        <v>429</v>
      </c>
      <c r="B35" s="132" t="s">
        <v>157</v>
      </c>
      <c r="C35" s="123" t="s">
        <v>66</v>
      </c>
      <c r="D35" s="133">
        <v>2</v>
      </c>
      <c r="E35" s="134">
        <v>52.5</v>
      </c>
    </row>
    <row r="36" spans="1:7">
      <c r="A36" s="148" t="s">
        <v>418</v>
      </c>
      <c r="B36" s="149" t="s">
        <v>157</v>
      </c>
      <c r="C36" s="148" t="s">
        <v>66</v>
      </c>
      <c r="D36" s="150">
        <v>6</v>
      </c>
      <c r="E36" s="143">
        <v>130.5</v>
      </c>
      <c r="F36" s="123" t="s">
        <v>508</v>
      </c>
    </row>
    <row r="37" spans="1:7">
      <c r="A37" s="148" t="s">
        <v>419</v>
      </c>
      <c r="B37" s="149" t="s">
        <v>157</v>
      </c>
      <c r="C37" s="148" t="s">
        <v>66</v>
      </c>
      <c r="D37" s="150">
        <v>6</v>
      </c>
      <c r="E37" s="143">
        <v>130.5</v>
      </c>
      <c r="F37" s="123" t="s">
        <v>508</v>
      </c>
    </row>
    <row r="38" spans="1:7">
      <c r="A38" s="148" t="s">
        <v>510</v>
      </c>
      <c r="B38" s="149" t="s">
        <v>157</v>
      </c>
      <c r="C38" s="148" t="s">
        <v>66</v>
      </c>
      <c r="D38" s="150">
        <v>6.57</v>
      </c>
      <c r="E38" s="143">
        <v>162.53</v>
      </c>
      <c r="F38" s="123" t="s">
        <v>508</v>
      </c>
    </row>
    <row r="39" spans="1:7">
      <c r="A39" s="123" t="s">
        <v>407</v>
      </c>
      <c r="B39" s="132" t="s">
        <v>157</v>
      </c>
      <c r="C39" s="123" t="s">
        <v>66</v>
      </c>
      <c r="D39" s="133">
        <v>1.88</v>
      </c>
      <c r="E39" s="134">
        <v>47.09</v>
      </c>
    </row>
    <row r="40" spans="1:7" ht="15">
      <c r="A40" s="148" t="s">
        <v>328</v>
      </c>
      <c r="B40" s="149" t="s">
        <v>157</v>
      </c>
      <c r="C40" s="148" t="s">
        <v>66</v>
      </c>
      <c r="D40" s="150">
        <v>66.27</v>
      </c>
      <c r="E40" s="143">
        <v>1809.08</v>
      </c>
      <c r="F40" s="123" t="s">
        <v>508</v>
      </c>
      <c r="G40" s="199" t="s">
        <v>511</v>
      </c>
    </row>
    <row r="41" spans="1:7">
      <c r="A41" s="148" t="s">
        <v>458</v>
      </c>
      <c r="B41" s="149" t="s">
        <v>157</v>
      </c>
      <c r="C41" s="148" t="s">
        <v>66</v>
      </c>
      <c r="D41" s="150">
        <v>4.83</v>
      </c>
      <c r="E41" s="143">
        <v>126.88</v>
      </c>
      <c r="F41" s="123" t="s">
        <v>508</v>
      </c>
    </row>
    <row r="42" spans="1:7">
      <c r="A42" s="140" t="s">
        <v>422</v>
      </c>
      <c r="B42" s="141" t="s">
        <v>157</v>
      </c>
      <c r="C42" s="140" t="s">
        <v>66</v>
      </c>
      <c r="D42" s="142">
        <v>4.2300000000000004</v>
      </c>
      <c r="E42" s="143">
        <v>127.51</v>
      </c>
      <c r="F42" s="123" t="s">
        <v>508</v>
      </c>
    </row>
    <row r="43" spans="1:7">
      <c r="A43" s="123" t="s">
        <v>79</v>
      </c>
      <c r="B43" s="132" t="s">
        <v>157</v>
      </c>
      <c r="C43" s="123" t="s">
        <v>66</v>
      </c>
      <c r="D43" s="123">
        <v>2.83</v>
      </c>
      <c r="E43" s="134">
        <v>70.72</v>
      </c>
    </row>
    <row r="44" spans="1:7">
      <c r="A44" s="148" t="s">
        <v>483</v>
      </c>
      <c r="B44" s="149" t="s">
        <v>157</v>
      </c>
      <c r="C44" s="148" t="s">
        <v>66</v>
      </c>
      <c r="D44" s="148">
        <v>7.73</v>
      </c>
      <c r="E44" s="143">
        <v>185.6</v>
      </c>
      <c r="F44" s="123" t="s">
        <v>508</v>
      </c>
    </row>
    <row r="45" spans="1:7">
      <c r="A45" s="148" t="s">
        <v>375</v>
      </c>
      <c r="B45" s="149" t="s">
        <v>157</v>
      </c>
      <c r="C45" s="148" t="s">
        <v>66</v>
      </c>
      <c r="D45" s="148">
        <v>6.75</v>
      </c>
      <c r="E45" s="143">
        <v>172.13</v>
      </c>
      <c r="F45" s="123" t="s">
        <v>508</v>
      </c>
    </row>
    <row r="46" spans="1:7">
      <c r="A46" s="127" t="s">
        <v>7</v>
      </c>
      <c r="B46" s="124"/>
      <c r="C46" s="124"/>
      <c r="D46" s="131">
        <f>SUM(D27:D45)</f>
        <v>145.31</v>
      </c>
      <c r="E46" s="135">
        <f>SUM(E27:E45)</f>
        <v>3760.63</v>
      </c>
    </row>
    <row r="47" spans="1:7">
      <c r="A47" s="127"/>
      <c r="B47" s="124"/>
      <c r="C47" s="124"/>
      <c r="D47" s="131"/>
      <c r="E47" s="135"/>
    </row>
    <row r="48" spans="1:7">
      <c r="A48" s="140" t="s">
        <v>163</v>
      </c>
      <c r="B48" s="141" t="s">
        <v>162</v>
      </c>
      <c r="C48" s="140" t="s">
        <v>51</v>
      </c>
      <c r="D48" s="142">
        <v>25.4</v>
      </c>
      <c r="E48" s="143">
        <v>838.2</v>
      </c>
      <c r="F48" s="123" t="s">
        <v>508</v>
      </c>
    </row>
    <row r="49" spans="1:6">
      <c r="A49" s="127" t="s">
        <v>7</v>
      </c>
      <c r="B49" s="125"/>
      <c r="C49" s="124"/>
      <c r="D49" s="131">
        <f>SUM(D48:D48)</f>
        <v>25.4</v>
      </c>
      <c r="E49" s="135">
        <f>SUM(E48:E48)</f>
        <v>838.2</v>
      </c>
    </row>
    <row r="50" spans="1:6">
      <c r="A50" s="127"/>
      <c r="B50" s="124"/>
      <c r="C50" s="124"/>
      <c r="D50" s="131"/>
      <c r="E50" s="135"/>
    </row>
    <row r="51" spans="1:6">
      <c r="A51" s="140" t="s">
        <v>64</v>
      </c>
      <c r="B51" s="141" t="s">
        <v>164</v>
      </c>
      <c r="C51" s="140" t="s">
        <v>60</v>
      </c>
      <c r="D51" s="142">
        <v>14.54</v>
      </c>
      <c r="E51" s="143">
        <v>327.01</v>
      </c>
      <c r="F51" s="123" t="s">
        <v>508</v>
      </c>
    </row>
    <row r="52" spans="1:6">
      <c r="A52" s="127" t="s">
        <v>7</v>
      </c>
      <c r="B52" s="124"/>
      <c r="C52" s="124"/>
      <c r="D52" s="131">
        <f>SUM(D51:D51)</f>
        <v>14.54</v>
      </c>
      <c r="E52" s="135">
        <f>SUM(E51:E51)</f>
        <v>327.01</v>
      </c>
    </row>
    <row r="53" spans="1:6">
      <c r="A53" s="127"/>
      <c r="B53" s="124"/>
      <c r="C53" s="124"/>
      <c r="D53" s="131"/>
      <c r="E53" s="135"/>
    </row>
    <row r="54" spans="1:6">
      <c r="A54" s="124" t="s">
        <v>412</v>
      </c>
      <c r="B54" s="125" t="s">
        <v>165</v>
      </c>
      <c r="C54" s="124" t="s">
        <v>45</v>
      </c>
      <c r="D54" s="126">
        <v>0.18</v>
      </c>
      <c r="E54" s="134">
        <v>4.4000000000000004</v>
      </c>
    </row>
    <row r="55" spans="1:6">
      <c r="A55" s="127" t="s">
        <v>7</v>
      </c>
      <c r="B55" s="124"/>
      <c r="C55" s="124"/>
      <c r="D55" s="131">
        <f>SUM(D54)</f>
        <v>0.18</v>
      </c>
      <c r="E55" s="135">
        <f>SUM(E54)</f>
        <v>4.4000000000000004</v>
      </c>
    </row>
    <row r="56" spans="1:6">
      <c r="A56" s="127"/>
      <c r="B56" s="124"/>
      <c r="C56" s="124"/>
      <c r="D56" s="131"/>
      <c r="E56" s="135"/>
    </row>
    <row r="57" spans="1:6">
      <c r="A57" s="124" t="s">
        <v>421</v>
      </c>
      <c r="B57" s="125" t="s">
        <v>167</v>
      </c>
      <c r="C57" s="124" t="s">
        <v>54</v>
      </c>
      <c r="D57" s="126">
        <v>0.93</v>
      </c>
      <c r="E57" s="134">
        <v>25.7</v>
      </c>
    </row>
    <row r="58" spans="1:6">
      <c r="A58" s="124" t="s">
        <v>292</v>
      </c>
      <c r="B58" s="125" t="s">
        <v>167</v>
      </c>
      <c r="C58" s="124" t="s">
        <v>54</v>
      </c>
      <c r="D58" s="126">
        <v>3.78</v>
      </c>
      <c r="E58" s="134">
        <v>96.48</v>
      </c>
    </row>
    <row r="59" spans="1:6">
      <c r="A59" s="140" t="s">
        <v>159</v>
      </c>
      <c r="B59" s="141" t="s">
        <v>167</v>
      </c>
      <c r="C59" s="140" t="s">
        <v>54</v>
      </c>
      <c r="D59" s="142">
        <v>4</v>
      </c>
      <c r="E59" s="143">
        <v>102</v>
      </c>
      <c r="F59" s="123" t="s">
        <v>508</v>
      </c>
    </row>
    <row r="60" spans="1:6">
      <c r="A60" s="127" t="s">
        <v>7</v>
      </c>
      <c r="B60" s="125"/>
      <c r="C60" s="124"/>
      <c r="D60" s="131">
        <f>SUM(D57:D59)</f>
        <v>8.7100000000000009</v>
      </c>
      <c r="E60" s="135">
        <f>SUM(E57:E59)</f>
        <v>224.18</v>
      </c>
    </row>
    <row r="61" spans="1:6">
      <c r="A61" s="127"/>
      <c r="B61" s="125"/>
      <c r="C61" s="124"/>
      <c r="D61" s="131"/>
      <c r="E61" s="135"/>
    </row>
    <row r="62" spans="1:6">
      <c r="A62" s="124" t="s">
        <v>480</v>
      </c>
      <c r="B62" s="125" t="s">
        <v>240</v>
      </c>
      <c r="C62" s="124" t="s">
        <v>241</v>
      </c>
      <c r="D62" s="126">
        <v>1.85</v>
      </c>
      <c r="E62" s="134">
        <v>60.02</v>
      </c>
    </row>
    <row r="63" spans="1:6">
      <c r="A63" s="127" t="s">
        <v>7</v>
      </c>
      <c r="B63" s="125"/>
      <c r="C63" s="124"/>
      <c r="D63" s="131">
        <f>SUM(D62)</f>
        <v>1.85</v>
      </c>
      <c r="E63" s="135">
        <f>SUM(E62)</f>
        <v>60.02</v>
      </c>
    </row>
    <row r="64" spans="1:6">
      <c r="A64" s="127"/>
      <c r="B64" s="125"/>
      <c r="C64" s="124"/>
      <c r="D64" s="131"/>
      <c r="E64" s="135"/>
    </row>
    <row r="65" spans="1:6">
      <c r="A65" s="189" t="s">
        <v>459</v>
      </c>
      <c r="B65" s="190" t="s">
        <v>171</v>
      </c>
      <c r="C65" s="189" t="s">
        <v>25</v>
      </c>
      <c r="D65" s="191">
        <v>17.72</v>
      </c>
      <c r="E65" s="192">
        <v>558.08000000000004</v>
      </c>
      <c r="F65" s="123" t="s">
        <v>508</v>
      </c>
    </row>
    <row r="66" spans="1:6">
      <c r="A66" s="124" t="s">
        <v>493</v>
      </c>
      <c r="B66" s="125" t="s">
        <v>171</v>
      </c>
      <c r="C66" s="124" t="s">
        <v>25</v>
      </c>
      <c r="D66" s="126">
        <v>0.25</v>
      </c>
      <c r="E66" s="134">
        <v>7.88</v>
      </c>
    </row>
    <row r="67" spans="1:6">
      <c r="A67" s="124" t="s">
        <v>512</v>
      </c>
      <c r="B67" s="125" t="s">
        <v>171</v>
      </c>
      <c r="C67" s="124" t="s">
        <v>25</v>
      </c>
      <c r="D67" s="126">
        <v>2.4</v>
      </c>
      <c r="E67" s="134">
        <v>75.599999999999994</v>
      </c>
    </row>
    <row r="68" spans="1:6">
      <c r="A68" s="124" t="s">
        <v>513</v>
      </c>
      <c r="B68" s="125" t="s">
        <v>171</v>
      </c>
      <c r="C68" s="124" t="s">
        <v>25</v>
      </c>
      <c r="D68" s="126">
        <v>0.48</v>
      </c>
      <c r="E68" s="134">
        <v>15.23</v>
      </c>
    </row>
    <row r="69" spans="1:6">
      <c r="A69" s="124" t="s">
        <v>505</v>
      </c>
      <c r="B69" s="125" t="s">
        <v>171</v>
      </c>
      <c r="C69" s="124" t="s">
        <v>25</v>
      </c>
      <c r="D69" s="126">
        <v>1</v>
      </c>
      <c r="E69" s="134">
        <v>31.5</v>
      </c>
    </row>
    <row r="70" spans="1:6">
      <c r="A70" s="124" t="s">
        <v>500</v>
      </c>
      <c r="B70" s="125" t="s">
        <v>171</v>
      </c>
      <c r="C70" s="124" t="s">
        <v>25</v>
      </c>
      <c r="D70" s="126">
        <v>0.17</v>
      </c>
      <c r="E70" s="134">
        <v>5</v>
      </c>
    </row>
    <row r="71" spans="1:6">
      <c r="A71" s="189" t="s">
        <v>487</v>
      </c>
      <c r="B71" s="190" t="s">
        <v>171</v>
      </c>
      <c r="C71" s="189" t="s">
        <v>25</v>
      </c>
      <c r="D71" s="191">
        <v>21.67</v>
      </c>
      <c r="E71" s="192">
        <v>731.25</v>
      </c>
      <c r="F71" s="123" t="s">
        <v>508</v>
      </c>
    </row>
    <row r="72" spans="1:6">
      <c r="A72" s="124" t="s">
        <v>397</v>
      </c>
      <c r="B72" s="125" t="s">
        <v>171</v>
      </c>
      <c r="C72" s="124" t="s">
        <v>25</v>
      </c>
      <c r="D72" s="126">
        <v>1.32</v>
      </c>
      <c r="E72" s="134">
        <v>41.63</v>
      </c>
    </row>
    <row r="73" spans="1:6">
      <c r="A73" s="124" t="s">
        <v>494</v>
      </c>
      <c r="B73" s="125" t="s">
        <v>171</v>
      </c>
      <c r="C73" s="124" t="s">
        <v>25</v>
      </c>
      <c r="D73" s="126">
        <v>0.82</v>
      </c>
      <c r="E73" s="134">
        <v>31.85</v>
      </c>
    </row>
    <row r="74" spans="1:6">
      <c r="A74" s="127" t="s">
        <v>7</v>
      </c>
      <c r="B74" s="124"/>
      <c r="C74" s="124"/>
      <c r="D74" s="131">
        <f>SUM(D65:D73)</f>
        <v>45.83</v>
      </c>
      <c r="E74" s="135">
        <f>SUM(E65:E73)</f>
        <v>1498.02</v>
      </c>
    </row>
    <row r="75" spans="1:6">
      <c r="A75" s="127"/>
      <c r="B75" s="124"/>
      <c r="C75" s="124"/>
      <c r="D75" s="131"/>
      <c r="E75" s="135"/>
    </row>
    <row r="76" spans="1:6">
      <c r="A76" s="124" t="s">
        <v>413</v>
      </c>
      <c r="B76" s="125" t="s">
        <v>172</v>
      </c>
      <c r="C76" s="124" t="s">
        <v>12</v>
      </c>
      <c r="D76" s="126">
        <v>0.57999999999999996</v>
      </c>
      <c r="E76" s="134">
        <v>20.59</v>
      </c>
    </row>
    <row r="77" spans="1:6">
      <c r="A77" s="127" t="s">
        <v>7</v>
      </c>
      <c r="B77" s="124"/>
      <c r="C77" s="124"/>
      <c r="D77" s="131">
        <f>SUM(D76)</f>
        <v>0.57999999999999996</v>
      </c>
      <c r="E77" s="135">
        <f>SUM(E76)</f>
        <v>20.59</v>
      </c>
    </row>
    <row r="78" spans="1:6">
      <c r="A78" s="127"/>
      <c r="B78" s="124"/>
      <c r="C78" s="124"/>
      <c r="D78" s="131"/>
      <c r="E78" s="135"/>
    </row>
    <row r="79" spans="1:6">
      <c r="A79" s="140" t="s">
        <v>37</v>
      </c>
      <c r="B79" s="141">
        <v>100051</v>
      </c>
      <c r="C79" s="140" t="s">
        <v>34</v>
      </c>
      <c r="D79" s="142">
        <v>20.98</v>
      </c>
      <c r="E79" s="143">
        <v>535.08000000000004</v>
      </c>
      <c r="F79" s="123" t="s">
        <v>508</v>
      </c>
    </row>
    <row r="80" spans="1:6">
      <c r="A80" s="124" t="s">
        <v>213</v>
      </c>
      <c r="B80" s="125">
        <v>100051</v>
      </c>
      <c r="C80" s="124" t="s">
        <v>34</v>
      </c>
      <c r="D80" s="126">
        <v>2.4300000000000002</v>
      </c>
      <c r="E80" s="134">
        <v>58.4</v>
      </c>
    </row>
    <row r="81" spans="1:6">
      <c r="A81" s="140" t="s">
        <v>39</v>
      </c>
      <c r="B81" s="141">
        <v>100051</v>
      </c>
      <c r="C81" s="140" t="s">
        <v>34</v>
      </c>
      <c r="D81" s="142">
        <v>5.85</v>
      </c>
      <c r="E81" s="143">
        <v>144.79</v>
      </c>
      <c r="F81" s="123" t="s">
        <v>508</v>
      </c>
    </row>
    <row r="82" spans="1:6">
      <c r="A82" s="127" t="s">
        <v>7</v>
      </c>
      <c r="B82" s="124"/>
      <c r="C82" s="124"/>
      <c r="D82" s="131">
        <f>SUM(D79:D81)</f>
        <v>29.259999999999998</v>
      </c>
      <c r="E82" s="135">
        <f>SUM(E79:E81)</f>
        <v>738.27</v>
      </c>
    </row>
    <row r="83" spans="1:6">
      <c r="A83" s="127"/>
      <c r="B83" s="124"/>
      <c r="C83" s="124"/>
      <c r="D83" s="126"/>
      <c r="E83" s="134"/>
    </row>
    <row r="84" spans="1:6">
      <c r="A84" s="124" t="s">
        <v>475</v>
      </c>
      <c r="B84" s="124" t="s">
        <v>476</v>
      </c>
      <c r="C84" s="124" t="s">
        <v>477</v>
      </c>
      <c r="D84" s="126">
        <v>0.38</v>
      </c>
      <c r="E84" s="134">
        <v>13.82</v>
      </c>
    </row>
    <row r="85" spans="1:6">
      <c r="A85" s="127" t="s">
        <v>7</v>
      </c>
      <c r="B85" s="124"/>
      <c r="C85" s="124"/>
      <c r="D85" s="131">
        <f>SUM(D84)</f>
        <v>0.38</v>
      </c>
      <c r="E85" s="135">
        <f>SUM(E84)</f>
        <v>13.82</v>
      </c>
    </row>
    <row r="86" spans="1:6">
      <c r="A86" s="127"/>
      <c r="B86" s="124"/>
      <c r="C86" s="124"/>
      <c r="D86" s="131"/>
      <c r="E86" s="135"/>
    </row>
    <row r="87" spans="1:6">
      <c r="A87" s="122" t="s">
        <v>194</v>
      </c>
      <c r="D87" s="131">
        <f>D85+D82+D77+D74+D55+D63+D60+D52+D49+D46+D25+D20+D16+D12+D9</f>
        <v>287.68999999999994</v>
      </c>
      <c r="E87" s="131">
        <f>E85+E82+E77+E74+E55+E63+E60+E52+E49+E46+E25+E20+E16+E12+E9</f>
        <v>7973.81</v>
      </c>
      <c r="F87" s="194"/>
    </row>
    <row r="88" spans="1:6">
      <c r="A88" s="127"/>
      <c r="B88" s="124"/>
      <c r="C88" s="124"/>
      <c r="D88" s="131"/>
      <c r="E88" s="135"/>
    </row>
    <row r="89" spans="1:6">
      <c r="A89" s="124"/>
      <c r="B89" s="124"/>
      <c r="C89" s="124"/>
      <c r="D89" s="126"/>
      <c r="E89" s="134"/>
    </row>
    <row r="90" spans="1:6">
      <c r="A90" s="124"/>
      <c r="B90" s="124"/>
      <c r="C90" s="124"/>
      <c r="D90" s="126"/>
      <c r="E90" s="134"/>
    </row>
    <row r="91" spans="1:6">
      <c r="A91" s="127"/>
      <c r="B91" s="124"/>
      <c r="C91" s="124"/>
      <c r="D91" s="131"/>
      <c r="E91" s="135"/>
    </row>
    <row r="92" spans="1:6">
      <c r="A92" s="127"/>
      <c r="B92" s="124"/>
      <c r="C92" s="124"/>
      <c r="D92" s="131"/>
      <c r="E92" s="135"/>
    </row>
    <row r="93" spans="1:6">
      <c r="A93" s="124"/>
      <c r="B93" s="124"/>
      <c r="C93" s="124"/>
      <c r="D93" s="126"/>
      <c r="E93" s="134"/>
    </row>
    <row r="94" spans="1:6">
      <c r="A94" s="127"/>
      <c r="B94" s="124"/>
      <c r="C94" s="124"/>
      <c r="D94" s="131"/>
      <c r="E94" s="135"/>
    </row>
    <row r="95" spans="1:6">
      <c r="A95" s="127"/>
      <c r="B95" s="124"/>
      <c r="C95" s="124"/>
      <c r="D95" s="131"/>
      <c r="E95" s="135"/>
    </row>
    <row r="96" spans="1:6">
      <c r="A96" s="124"/>
      <c r="B96" s="124"/>
      <c r="C96" s="124"/>
      <c r="D96" s="126"/>
      <c r="E96" s="134"/>
    </row>
    <row r="97" spans="1:5">
      <c r="A97" s="127"/>
      <c r="B97" s="124"/>
      <c r="C97" s="124"/>
      <c r="D97" s="131"/>
      <c r="E97" s="135"/>
    </row>
    <row r="98" spans="1:5">
      <c r="A98" s="127"/>
      <c r="B98" s="124"/>
      <c r="C98" s="124"/>
      <c r="D98" s="131"/>
      <c r="E98" s="135"/>
    </row>
    <row r="99" spans="1:5">
      <c r="A99" s="124"/>
      <c r="B99" s="124"/>
      <c r="C99" s="124"/>
      <c r="D99" s="126"/>
      <c r="E99" s="134"/>
    </row>
    <row r="100" spans="1:5">
      <c r="A100" s="124"/>
      <c r="B100" s="124"/>
      <c r="C100" s="124"/>
      <c r="D100" s="126"/>
      <c r="E100" s="134"/>
    </row>
    <row r="101" spans="1:5">
      <c r="A101" s="127"/>
      <c r="B101" s="124"/>
      <c r="C101" s="124"/>
      <c r="D101" s="131"/>
      <c r="E101" s="135"/>
    </row>
    <row r="102" spans="1:5">
      <c r="A102" s="127"/>
      <c r="B102" s="124"/>
      <c r="C102" s="124"/>
      <c r="D102" s="126"/>
      <c r="E102" s="134"/>
    </row>
    <row r="103" spans="1:5">
      <c r="A103" s="122"/>
      <c r="D103" s="131"/>
      <c r="E103" s="131"/>
    </row>
    <row r="104" spans="1:5">
      <c r="D104" s="131"/>
      <c r="E104" s="135"/>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14"/>
  <sheetViews>
    <sheetView workbookViewId="0">
      <selection sqref="A1:E14"/>
    </sheetView>
  </sheetViews>
  <sheetFormatPr defaultRowHeight="12.75"/>
  <cols>
    <col min="2" max="2" width="11.28515625" bestFit="1" customWidth="1"/>
    <col min="3" max="4" width="17.28515625" bestFit="1" customWidth="1"/>
    <col min="5" max="5" width="12.28515625" bestFit="1" customWidth="1"/>
  </cols>
  <sheetData>
    <row r="1" spans="1:5">
      <c r="A1" s="35" t="s">
        <v>349</v>
      </c>
      <c r="B1" s="35" t="s">
        <v>350</v>
      </c>
      <c r="C1" s="35" t="s">
        <v>514</v>
      </c>
      <c r="D1" s="35" t="s">
        <v>439</v>
      </c>
      <c r="E1" s="35" t="s">
        <v>353</v>
      </c>
    </row>
    <row r="2" spans="1:5">
      <c r="A2" s="18" t="s">
        <v>354</v>
      </c>
      <c r="B2" s="18">
        <v>384.59</v>
      </c>
      <c r="C2" s="36">
        <v>10079.75</v>
      </c>
      <c r="D2" s="36">
        <v>5611.1</v>
      </c>
      <c r="E2" s="54">
        <f t="shared" ref="E2:E13" si="0">D2-C2</f>
        <v>-4468.6499999999996</v>
      </c>
    </row>
    <row r="3" spans="1:5">
      <c r="A3" s="18" t="s">
        <v>355</v>
      </c>
      <c r="B3" s="18">
        <v>235.53</v>
      </c>
      <c r="C3" s="36">
        <v>6059.34</v>
      </c>
      <c r="D3" s="36">
        <v>2760.84</v>
      </c>
      <c r="E3" s="54">
        <f t="shared" si="0"/>
        <v>-3298.5</v>
      </c>
    </row>
    <row r="4" spans="1:5">
      <c r="A4" s="18" t="s">
        <v>356</v>
      </c>
      <c r="B4" s="18">
        <v>581.32000000000005</v>
      </c>
      <c r="C4" s="36">
        <v>14058.61</v>
      </c>
      <c r="D4" s="36">
        <v>2958.47</v>
      </c>
      <c r="E4" s="54">
        <f t="shared" si="0"/>
        <v>-11100.140000000001</v>
      </c>
    </row>
    <row r="5" spans="1:5">
      <c r="A5" s="18" t="s">
        <v>357</v>
      </c>
      <c r="B5" s="18">
        <v>443.21</v>
      </c>
      <c r="C5" s="36">
        <v>11307.13</v>
      </c>
      <c r="D5" s="36">
        <v>6419.23</v>
      </c>
      <c r="E5" s="54">
        <f t="shared" si="0"/>
        <v>-4887.8999999999996</v>
      </c>
    </row>
    <row r="6" spans="1:5">
      <c r="A6" s="18" t="s">
        <v>358</v>
      </c>
      <c r="B6" s="18">
        <v>406.14</v>
      </c>
      <c r="C6" s="36">
        <v>10622.13</v>
      </c>
      <c r="D6" s="36">
        <v>6235.17</v>
      </c>
      <c r="E6" s="54">
        <f t="shared" si="0"/>
        <v>-4386.9599999999991</v>
      </c>
    </row>
    <row r="7" spans="1:5">
      <c r="A7" s="18" t="s">
        <v>359</v>
      </c>
      <c r="B7" s="107">
        <v>349.5</v>
      </c>
      <c r="C7" s="36">
        <v>9050.2099999999991</v>
      </c>
      <c r="D7" s="36">
        <v>11238.62</v>
      </c>
      <c r="E7" s="54">
        <f t="shared" si="0"/>
        <v>2188.4100000000017</v>
      </c>
    </row>
    <row r="8" spans="1:5">
      <c r="A8" s="18" t="s">
        <v>360</v>
      </c>
      <c r="B8" s="18">
        <v>318.97000000000003</v>
      </c>
      <c r="C8" s="36">
        <v>8523.76</v>
      </c>
      <c r="D8" s="36">
        <v>11419.35</v>
      </c>
      <c r="E8" s="54">
        <f t="shared" si="0"/>
        <v>2895.59</v>
      </c>
    </row>
    <row r="9" spans="1:5">
      <c r="A9" s="18" t="s">
        <v>361</v>
      </c>
      <c r="B9" s="18">
        <v>246.66</v>
      </c>
      <c r="C9" s="36">
        <v>6814.57</v>
      </c>
      <c r="D9" s="36">
        <v>13765.55</v>
      </c>
      <c r="E9" s="54">
        <f t="shared" si="0"/>
        <v>6950.98</v>
      </c>
    </row>
    <row r="10" spans="1:5">
      <c r="A10" s="18" t="s">
        <v>362</v>
      </c>
      <c r="B10" s="18">
        <v>194.94</v>
      </c>
      <c r="C10" s="36">
        <v>5495.59</v>
      </c>
      <c r="D10" s="36">
        <v>11740</v>
      </c>
      <c r="E10" s="54">
        <f t="shared" si="0"/>
        <v>6244.41</v>
      </c>
    </row>
    <row r="11" spans="1:5">
      <c r="A11" s="18" t="s">
        <v>363</v>
      </c>
      <c r="B11" s="18">
        <v>210.41</v>
      </c>
      <c r="C11" s="36">
        <v>6060.41</v>
      </c>
      <c r="D11" s="36">
        <v>14697.419999999998</v>
      </c>
      <c r="E11" s="54">
        <f t="shared" si="0"/>
        <v>8637.0099999999984</v>
      </c>
    </row>
    <row r="12" spans="1:5">
      <c r="A12" s="18" t="s">
        <v>364</v>
      </c>
      <c r="B12" s="18">
        <v>142.74</v>
      </c>
      <c r="C12" s="36">
        <v>4228.78</v>
      </c>
      <c r="D12" s="36">
        <v>13038.249999999998</v>
      </c>
      <c r="E12" s="54">
        <f t="shared" si="0"/>
        <v>8809.4699999999975</v>
      </c>
    </row>
    <row r="13" spans="1:5">
      <c r="A13" s="18" t="s">
        <v>365</v>
      </c>
      <c r="B13" s="18">
        <v>287.69</v>
      </c>
      <c r="C13" s="36">
        <v>7973.81</v>
      </c>
      <c r="D13" s="36">
        <v>9775.33</v>
      </c>
      <c r="E13" s="54">
        <f t="shared" si="0"/>
        <v>1801.5199999999995</v>
      </c>
    </row>
    <row r="14" spans="1:5">
      <c r="B14" s="18"/>
      <c r="C14" s="37">
        <f>SUM(C2:C13)</f>
        <v>100274.09</v>
      </c>
      <c r="D14" s="67">
        <f>SUM(D2:D13)</f>
        <v>109659.33</v>
      </c>
      <c r="E14" s="121">
        <f>SUM(E2:E13)</f>
        <v>9385.239999999998</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L77"/>
  <sheetViews>
    <sheetView workbookViewId="0">
      <selection activeCell="G1" sqref="G1:K7"/>
    </sheetView>
  </sheetViews>
  <sheetFormatPr defaultRowHeight="12.75"/>
  <cols>
    <col min="1" max="1" width="19.42578125" bestFit="1" customWidth="1"/>
    <col min="2" max="2" width="23.140625" bestFit="1" customWidth="1"/>
    <col min="3" max="3" width="33.85546875" bestFit="1" customWidth="1"/>
    <col min="4" max="4" width="20.42578125" bestFit="1" customWidth="1"/>
    <col min="5" max="5" width="23.28515625" style="155" bestFit="1" customWidth="1"/>
    <col min="7" max="7" width="10.85546875" bestFit="1" customWidth="1"/>
    <col min="8" max="8" width="16.5703125" customWidth="1"/>
    <col min="9" max="9" width="10" bestFit="1" customWidth="1"/>
    <col min="10" max="10" width="11.140625" bestFit="1" customWidth="1"/>
    <col min="11" max="11" width="10.28515625" customWidth="1"/>
  </cols>
  <sheetData>
    <row r="1" spans="1:12">
      <c r="A1" s="122" t="s">
        <v>147</v>
      </c>
      <c r="B1" s="122" t="s">
        <v>148</v>
      </c>
      <c r="C1" s="122" t="s">
        <v>149</v>
      </c>
      <c r="D1" s="122" t="s">
        <v>150</v>
      </c>
      <c r="E1" s="154" t="s">
        <v>151</v>
      </c>
      <c r="G1" s="38" t="s">
        <v>259</v>
      </c>
      <c r="H1" s="58" t="s">
        <v>334</v>
      </c>
      <c r="I1" s="40" t="s">
        <v>260</v>
      </c>
      <c r="J1" s="119" t="s">
        <v>262</v>
      </c>
      <c r="K1" s="39" t="s">
        <v>261</v>
      </c>
      <c r="L1" s="123"/>
    </row>
    <row r="2" spans="1:12">
      <c r="A2" s="124" t="s">
        <v>506</v>
      </c>
      <c r="B2" s="125" t="s">
        <v>152</v>
      </c>
      <c r="C2" s="124" t="s">
        <v>15</v>
      </c>
      <c r="D2" s="126">
        <v>1.6</v>
      </c>
      <c r="E2" s="134">
        <v>52.8</v>
      </c>
      <c r="G2" s="13">
        <f>E28+E37+E64+E65+E68</f>
        <v>1798.48</v>
      </c>
      <c r="H2" s="59">
        <v>0</v>
      </c>
      <c r="I2" s="66">
        <f>E15</f>
        <v>620.75</v>
      </c>
      <c r="J2" s="166">
        <v>0</v>
      </c>
      <c r="K2" s="16">
        <v>0</v>
      </c>
      <c r="L2" s="123"/>
    </row>
    <row r="3" spans="1:12">
      <c r="A3" s="124" t="s">
        <v>389</v>
      </c>
      <c r="B3" s="125" t="s">
        <v>152</v>
      </c>
      <c r="C3" s="124" t="s">
        <v>15</v>
      </c>
      <c r="D3" s="126">
        <v>1.05</v>
      </c>
      <c r="E3" s="134">
        <v>33.17</v>
      </c>
      <c r="G3" s="18"/>
      <c r="H3" t="s">
        <v>263</v>
      </c>
      <c r="I3" s="18"/>
      <c r="J3" s="18"/>
      <c r="K3" s="18"/>
      <c r="L3" s="123"/>
    </row>
    <row r="4" spans="1:12">
      <c r="A4" s="124" t="s">
        <v>18</v>
      </c>
      <c r="B4" s="125" t="s">
        <v>152</v>
      </c>
      <c r="C4" s="124" t="s">
        <v>15</v>
      </c>
      <c r="D4" s="126">
        <v>1.37</v>
      </c>
      <c r="E4" s="134">
        <v>38.81</v>
      </c>
      <c r="G4" s="11"/>
      <c r="H4" s="11"/>
      <c r="I4" s="11"/>
      <c r="J4" s="11"/>
      <c r="K4" s="11"/>
      <c r="L4" s="123"/>
    </row>
    <row r="5" spans="1:12">
      <c r="A5" s="124" t="s">
        <v>434</v>
      </c>
      <c r="B5" s="125">
        <v>400020</v>
      </c>
      <c r="C5" s="124" t="s">
        <v>98</v>
      </c>
      <c r="D5" s="126">
        <v>0.53</v>
      </c>
      <c r="E5" s="134">
        <v>17.14</v>
      </c>
      <c r="H5" t="s">
        <v>461</v>
      </c>
      <c r="L5" s="123"/>
    </row>
    <row r="6" spans="1:12" ht="15">
      <c r="A6" s="124" t="s">
        <v>496</v>
      </c>
      <c r="B6" s="125" t="s">
        <v>152</v>
      </c>
      <c r="C6" s="124" t="s">
        <v>15</v>
      </c>
      <c r="D6" s="126">
        <v>2.5</v>
      </c>
      <c r="E6" s="134">
        <v>78.75</v>
      </c>
      <c r="H6" s="157" t="s">
        <v>454</v>
      </c>
      <c r="L6" s="123"/>
    </row>
    <row r="7" spans="1:12" ht="15">
      <c r="A7" s="124" t="s">
        <v>377</v>
      </c>
      <c r="B7" s="125" t="s">
        <v>152</v>
      </c>
      <c r="C7" s="124" t="s">
        <v>15</v>
      </c>
      <c r="D7" s="126">
        <v>1.7</v>
      </c>
      <c r="E7" s="134">
        <v>56.87</v>
      </c>
      <c r="H7" s="158" t="s">
        <v>455</v>
      </c>
      <c r="L7" s="123"/>
    </row>
    <row r="8" spans="1:12">
      <c r="A8" s="124" t="s">
        <v>469</v>
      </c>
      <c r="B8" s="125" t="s">
        <v>152</v>
      </c>
      <c r="C8" s="124" t="s">
        <v>15</v>
      </c>
      <c r="D8" s="126">
        <v>0.78</v>
      </c>
      <c r="E8" s="134">
        <v>21.74</v>
      </c>
    </row>
    <row r="9" spans="1:12">
      <c r="A9" s="124" t="s">
        <v>426</v>
      </c>
      <c r="B9" s="125">
        <v>290020</v>
      </c>
      <c r="C9" s="124" t="s">
        <v>373</v>
      </c>
      <c r="D9" s="126">
        <v>7.0000000000000007E-2</v>
      </c>
      <c r="E9" s="134">
        <v>2.23</v>
      </c>
    </row>
    <row r="10" spans="1:12">
      <c r="A10" s="127" t="s">
        <v>7</v>
      </c>
      <c r="B10" s="124"/>
      <c r="C10" s="124"/>
      <c r="D10" s="131">
        <f>SUM(D2:D9)</f>
        <v>9.6</v>
      </c>
      <c r="E10" s="135">
        <f>SUM(E2:E9)</f>
        <v>301.51000000000005</v>
      </c>
    </row>
    <row r="11" spans="1:12">
      <c r="A11" s="127"/>
      <c r="B11" s="124"/>
      <c r="C11" s="124"/>
      <c r="D11" s="131"/>
      <c r="E11" s="135"/>
    </row>
    <row r="12" spans="1:12">
      <c r="A12" s="124" t="s">
        <v>307</v>
      </c>
      <c r="B12" s="124">
        <v>100035</v>
      </c>
      <c r="C12" s="124" t="s">
        <v>332</v>
      </c>
      <c r="D12" s="126">
        <v>2.3199999999999998</v>
      </c>
      <c r="E12" s="134">
        <v>92.4</v>
      </c>
    </row>
    <row r="13" spans="1:12">
      <c r="A13" s="124" t="s">
        <v>22</v>
      </c>
      <c r="B13" s="125" t="s">
        <v>154</v>
      </c>
      <c r="C13" s="124" t="s">
        <v>23</v>
      </c>
      <c r="D13" s="126">
        <v>0.05</v>
      </c>
      <c r="E13" s="134">
        <v>1.88</v>
      </c>
    </row>
    <row r="14" spans="1:12">
      <c r="A14" s="124" t="s">
        <v>488</v>
      </c>
      <c r="B14" s="125" t="s">
        <v>154</v>
      </c>
      <c r="C14" s="124" t="s">
        <v>23</v>
      </c>
      <c r="D14" s="126">
        <v>0.88</v>
      </c>
      <c r="E14" s="134">
        <v>33.130000000000003</v>
      </c>
    </row>
    <row r="15" spans="1:12">
      <c r="A15" s="144" t="s">
        <v>494</v>
      </c>
      <c r="B15" s="145" t="s">
        <v>154</v>
      </c>
      <c r="C15" s="144" t="s">
        <v>23</v>
      </c>
      <c r="D15" s="146">
        <v>15.92</v>
      </c>
      <c r="E15" s="147">
        <v>620.75</v>
      </c>
      <c r="F15" t="s">
        <v>515</v>
      </c>
    </row>
    <row r="16" spans="1:12">
      <c r="A16" s="127" t="s">
        <v>7</v>
      </c>
      <c r="B16" s="124"/>
      <c r="C16" s="124"/>
      <c r="D16" s="131">
        <f>SUM(D12:D15)</f>
        <v>19.169999999999998</v>
      </c>
      <c r="E16" s="135">
        <f>SUM(E12:E15)</f>
        <v>748.16</v>
      </c>
    </row>
    <row r="17" spans="1:6">
      <c r="A17" s="127"/>
      <c r="B17" s="125"/>
      <c r="C17" s="124"/>
      <c r="D17" s="131"/>
      <c r="E17" s="135"/>
    </row>
    <row r="18" spans="1:6">
      <c r="A18" s="124" t="s">
        <v>415</v>
      </c>
      <c r="B18" s="125" t="s">
        <v>155</v>
      </c>
      <c r="C18" s="124" t="s">
        <v>196</v>
      </c>
      <c r="D18" s="126">
        <v>0.02</v>
      </c>
      <c r="E18" s="134">
        <v>0.55000000000000004</v>
      </c>
    </row>
    <row r="19" spans="1:6">
      <c r="A19" s="127" t="s">
        <v>7</v>
      </c>
      <c r="B19" s="125"/>
      <c r="C19" s="124"/>
      <c r="D19" s="131">
        <f>SUM(D18:D18)</f>
        <v>0.02</v>
      </c>
      <c r="E19" s="135">
        <f>SUM(E18:E18)</f>
        <v>0.55000000000000004</v>
      </c>
    </row>
    <row r="20" spans="1:6">
      <c r="A20" s="127"/>
      <c r="B20" s="125"/>
      <c r="C20" s="124"/>
      <c r="D20" s="131"/>
      <c r="E20" s="135"/>
    </row>
    <row r="21" spans="1:6">
      <c r="A21" s="124" t="s">
        <v>14</v>
      </c>
      <c r="B21" s="125" t="s">
        <v>156</v>
      </c>
      <c r="C21" s="124" t="s">
        <v>91</v>
      </c>
      <c r="D21" s="126">
        <v>0.22</v>
      </c>
      <c r="E21" s="134">
        <v>7.17</v>
      </c>
    </row>
    <row r="22" spans="1:6">
      <c r="A22" s="124" t="s">
        <v>335</v>
      </c>
      <c r="B22" s="125" t="s">
        <v>156</v>
      </c>
      <c r="C22" s="124" t="s">
        <v>91</v>
      </c>
      <c r="D22" s="126">
        <v>1.18</v>
      </c>
      <c r="E22" s="134">
        <v>36.92</v>
      </c>
    </row>
    <row r="23" spans="1:6">
      <c r="A23" s="127" t="s">
        <v>7</v>
      </c>
      <c r="B23" s="124"/>
      <c r="C23" s="124"/>
      <c r="D23" s="131">
        <f>SUM(D21:D22)</f>
        <v>1.4</v>
      </c>
      <c r="E23" s="135">
        <f>SUM(E21:E22)</f>
        <v>44.09</v>
      </c>
    </row>
    <row r="24" spans="1:6">
      <c r="A24" s="124"/>
      <c r="B24" s="124"/>
      <c r="C24" s="124"/>
      <c r="D24" s="126"/>
      <c r="E24" s="134"/>
    </row>
    <row r="25" spans="1:6">
      <c r="A25" s="124" t="s">
        <v>509</v>
      </c>
      <c r="B25" s="125" t="s">
        <v>157</v>
      </c>
      <c r="C25" s="124" t="s">
        <v>66</v>
      </c>
      <c r="D25" s="126">
        <v>0.45</v>
      </c>
      <c r="E25" s="134">
        <v>10.8</v>
      </c>
    </row>
    <row r="26" spans="1:6">
      <c r="A26" s="124" t="s">
        <v>472</v>
      </c>
      <c r="B26" s="125" t="s">
        <v>157</v>
      </c>
      <c r="C26" s="124" t="s">
        <v>66</v>
      </c>
      <c r="D26" s="126">
        <v>0.45</v>
      </c>
      <c r="E26" s="134">
        <v>10.8</v>
      </c>
    </row>
    <row r="27" spans="1:6">
      <c r="A27" s="123" t="s">
        <v>407</v>
      </c>
      <c r="B27" s="132" t="s">
        <v>157</v>
      </c>
      <c r="C27" s="123" t="s">
        <v>66</v>
      </c>
      <c r="D27" s="133">
        <v>0.65</v>
      </c>
      <c r="E27" s="134">
        <v>16.25</v>
      </c>
    </row>
    <row r="28" spans="1:6">
      <c r="A28" s="148" t="s">
        <v>328</v>
      </c>
      <c r="B28" s="149" t="s">
        <v>157</v>
      </c>
      <c r="C28" s="148" t="s">
        <v>66</v>
      </c>
      <c r="D28" s="150">
        <v>32.78</v>
      </c>
      <c r="E28" s="143">
        <v>894.99</v>
      </c>
      <c r="F28" s="10" t="s">
        <v>508</v>
      </c>
    </row>
    <row r="29" spans="1:6">
      <c r="A29" s="123" t="s">
        <v>458</v>
      </c>
      <c r="B29" s="132" t="s">
        <v>157</v>
      </c>
      <c r="C29" s="123" t="s">
        <v>66</v>
      </c>
      <c r="D29" s="133">
        <v>0.62</v>
      </c>
      <c r="E29" s="134">
        <v>16.649999999999999</v>
      </c>
    </row>
    <row r="30" spans="1:6">
      <c r="A30" s="124" t="s">
        <v>422</v>
      </c>
      <c r="B30" s="125" t="s">
        <v>157</v>
      </c>
      <c r="C30" s="124" t="s">
        <v>66</v>
      </c>
      <c r="D30" s="126">
        <v>0.38</v>
      </c>
      <c r="E30" s="134">
        <v>11.55</v>
      </c>
    </row>
    <row r="31" spans="1:6">
      <c r="A31" s="123" t="s">
        <v>79</v>
      </c>
      <c r="B31" s="132" t="s">
        <v>157</v>
      </c>
      <c r="C31" s="123" t="s">
        <v>66</v>
      </c>
      <c r="D31" s="123">
        <v>3.82</v>
      </c>
      <c r="E31" s="134">
        <v>95.26</v>
      </c>
    </row>
    <row r="32" spans="1:6">
      <c r="A32" s="123" t="s">
        <v>483</v>
      </c>
      <c r="B32" s="132" t="s">
        <v>157</v>
      </c>
      <c r="C32" s="123" t="s">
        <v>66</v>
      </c>
      <c r="D32" s="123">
        <v>7.4</v>
      </c>
      <c r="E32" s="134">
        <v>177.6</v>
      </c>
    </row>
    <row r="33" spans="1:6">
      <c r="A33" s="123" t="s">
        <v>516</v>
      </c>
      <c r="B33" s="132" t="s">
        <v>157</v>
      </c>
      <c r="C33" s="123" t="s">
        <v>66</v>
      </c>
      <c r="D33" s="123">
        <v>0.87</v>
      </c>
      <c r="E33" s="134">
        <v>20.149999999999999</v>
      </c>
    </row>
    <row r="34" spans="1:6">
      <c r="A34" s="123" t="s">
        <v>412</v>
      </c>
      <c r="B34" s="132" t="s">
        <v>157</v>
      </c>
      <c r="C34" s="123" t="s">
        <v>66</v>
      </c>
      <c r="D34" s="123">
        <v>0.77</v>
      </c>
      <c r="E34" s="134">
        <v>18.399999999999999</v>
      </c>
    </row>
    <row r="35" spans="1:6">
      <c r="A35" s="127" t="s">
        <v>7</v>
      </c>
      <c r="B35" s="124"/>
      <c r="C35" s="124"/>
      <c r="D35" s="131">
        <f>SUM(D25:D34)</f>
        <v>48.19</v>
      </c>
      <c r="E35" s="135">
        <f>SUM(E25:E34)</f>
        <v>1272.45</v>
      </c>
    </row>
    <row r="36" spans="1:6">
      <c r="A36" s="127"/>
      <c r="B36" s="124"/>
      <c r="C36" s="124"/>
      <c r="D36" s="131"/>
      <c r="E36" s="135"/>
    </row>
    <row r="37" spans="1:6">
      <c r="A37" s="140" t="s">
        <v>163</v>
      </c>
      <c r="B37" s="141" t="s">
        <v>162</v>
      </c>
      <c r="C37" s="140" t="s">
        <v>51</v>
      </c>
      <c r="D37" s="142">
        <v>15</v>
      </c>
      <c r="E37" s="143">
        <v>495</v>
      </c>
      <c r="F37" s="10" t="s">
        <v>508</v>
      </c>
    </row>
    <row r="38" spans="1:6">
      <c r="A38" s="127" t="s">
        <v>7</v>
      </c>
      <c r="B38" s="125"/>
      <c r="C38" s="124"/>
      <c r="D38" s="131">
        <f>SUM(D37:D37)</f>
        <v>15</v>
      </c>
      <c r="E38" s="135">
        <f>SUM(E37:E37)</f>
        <v>495</v>
      </c>
    </row>
    <row r="39" spans="1:6">
      <c r="A39" s="127"/>
      <c r="B39" s="124"/>
      <c r="C39" s="124"/>
      <c r="D39" s="131"/>
      <c r="E39" s="135"/>
    </row>
    <row r="40" spans="1:6">
      <c r="A40" s="124" t="s">
        <v>64</v>
      </c>
      <c r="B40" s="125" t="s">
        <v>164</v>
      </c>
      <c r="C40" s="124" t="s">
        <v>60</v>
      </c>
      <c r="D40" s="126">
        <v>2.4700000000000002</v>
      </c>
      <c r="E40" s="134">
        <v>55.5</v>
      </c>
    </row>
    <row r="41" spans="1:6">
      <c r="A41" s="127" t="s">
        <v>7</v>
      </c>
      <c r="B41" s="124"/>
      <c r="C41" s="124"/>
      <c r="D41" s="131">
        <f>SUM(D40:D40)</f>
        <v>2.4700000000000002</v>
      </c>
      <c r="E41" s="135">
        <f>SUM(E40:E40)</f>
        <v>55.5</v>
      </c>
    </row>
    <row r="42" spans="1:6">
      <c r="A42" s="127"/>
      <c r="B42" s="124"/>
      <c r="C42" s="124"/>
      <c r="D42" s="131"/>
      <c r="E42" s="135"/>
    </row>
    <row r="43" spans="1:6">
      <c r="A43" s="124" t="s">
        <v>421</v>
      </c>
      <c r="B43" s="125" t="s">
        <v>167</v>
      </c>
      <c r="C43" s="124" t="s">
        <v>54</v>
      </c>
      <c r="D43" s="126">
        <v>1.87</v>
      </c>
      <c r="E43" s="134">
        <v>51.41</v>
      </c>
    </row>
    <row r="44" spans="1:6">
      <c r="A44" s="124" t="s">
        <v>292</v>
      </c>
      <c r="B44" s="125" t="s">
        <v>167</v>
      </c>
      <c r="C44" s="124" t="s">
        <v>54</v>
      </c>
      <c r="D44" s="126">
        <v>0.48</v>
      </c>
      <c r="E44" s="134">
        <v>12.33</v>
      </c>
    </row>
    <row r="45" spans="1:6">
      <c r="A45" s="124" t="s">
        <v>517</v>
      </c>
      <c r="B45" s="125" t="s">
        <v>167</v>
      </c>
      <c r="C45" s="124" t="s">
        <v>54</v>
      </c>
      <c r="D45" s="126">
        <v>0.12</v>
      </c>
      <c r="E45" s="134">
        <v>2.98</v>
      </c>
    </row>
    <row r="46" spans="1:6">
      <c r="A46" s="127" t="s">
        <v>7</v>
      </c>
      <c r="B46" s="125"/>
      <c r="C46" s="124"/>
      <c r="D46" s="131">
        <f>SUM(D43:D45)</f>
        <v>2.4700000000000002</v>
      </c>
      <c r="E46" s="135">
        <f>SUM(E43:E45)</f>
        <v>66.72</v>
      </c>
    </row>
    <row r="47" spans="1:6">
      <c r="A47" s="127"/>
      <c r="B47" s="125"/>
      <c r="C47" s="124"/>
      <c r="D47" s="131"/>
      <c r="E47" s="135"/>
    </row>
    <row r="48" spans="1:6">
      <c r="A48" s="124" t="s">
        <v>480</v>
      </c>
      <c r="B48" s="125" t="s">
        <v>240</v>
      </c>
      <c r="C48" s="124" t="s">
        <v>241</v>
      </c>
      <c r="D48" s="126">
        <v>3.15</v>
      </c>
      <c r="E48" s="134">
        <v>102.2</v>
      </c>
    </row>
    <row r="49" spans="1:6">
      <c r="A49" s="127" t="s">
        <v>7</v>
      </c>
      <c r="B49" s="125"/>
      <c r="C49" s="124"/>
      <c r="D49" s="131">
        <f>SUM(D48)</f>
        <v>3.15</v>
      </c>
      <c r="E49" s="135">
        <f>SUM(E48)</f>
        <v>102.2</v>
      </c>
    </row>
    <row r="50" spans="1:6">
      <c r="A50" s="127"/>
      <c r="B50" s="125"/>
      <c r="C50" s="124"/>
      <c r="D50" s="131"/>
      <c r="E50" s="135"/>
    </row>
    <row r="51" spans="1:6">
      <c r="A51" s="124" t="s">
        <v>493</v>
      </c>
      <c r="B51" s="125" t="s">
        <v>171</v>
      </c>
      <c r="C51" s="124" t="s">
        <v>25</v>
      </c>
      <c r="D51" s="126">
        <v>0.3</v>
      </c>
      <c r="E51" s="134">
        <v>9.4499999999999993</v>
      </c>
    </row>
    <row r="52" spans="1:6">
      <c r="A52" s="124" t="s">
        <v>512</v>
      </c>
      <c r="B52" s="125" t="s">
        <v>171</v>
      </c>
      <c r="C52" s="124" t="s">
        <v>25</v>
      </c>
      <c r="D52" s="126">
        <v>0.55000000000000004</v>
      </c>
      <c r="E52" s="134">
        <v>17.329999999999998</v>
      </c>
    </row>
    <row r="53" spans="1:6">
      <c r="A53" s="124" t="s">
        <v>513</v>
      </c>
      <c r="B53" s="125" t="s">
        <v>171</v>
      </c>
      <c r="C53" s="124" t="s">
        <v>25</v>
      </c>
      <c r="D53" s="126">
        <v>0.45</v>
      </c>
      <c r="E53" s="134">
        <v>14.18</v>
      </c>
    </row>
    <row r="54" spans="1:6">
      <c r="A54" s="124" t="s">
        <v>505</v>
      </c>
      <c r="B54" s="125" t="s">
        <v>171</v>
      </c>
      <c r="C54" s="124" t="s">
        <v>25</v>
      </c>
      <c r="D54" s="126">
        <v>0.63</v>
      </c>
      <c r="E54" s="134">
        <v>19.95</v>
      </c>
    </row>
    <row r="55" spans="1:6">
      <c r="A55" s="124" t="s">
        <v>500</v>
      </c>
      <c r="B55" s="125" t="s">
        <v>171</v>
      </c>
      <c r="C55" s="124" t="s">
        <v>25</v>
      </c>
      <c r="D55" s="126">
        <v>0.33</v>
      </c>
      <c r="E55" s="134">
        <v>10</v>
      </c>
    </row>
    <row r="56" spans="1:6">
      <c r="A56" s="124" t="s">
        <v>487</v>
      </c>
      <c r="B56" s="125" t="s">
        <v>171</v>
      </c>
      <c r="C56" s="124" t="s">
        <v>25</v>
      </c>
      <c r="D56" s="126">
        <v>2.4300000000000002</v>
      </c>
      <c r="E56" s="134">
        <v>82.13</v>
      </c>
    </row>
    <row r="57" spans="1:6">
      <c r="A57" s="124" t="s">
        <v>397</v>
      </c>
      <c r="B57" s="125" t="s">
        <v>171</v>
      </c>
      <c r="C57" s="124" t="s">
        <v>25</v>
      </c>
      <c r="D57" s="126">
        <v>1.82</v>
      </c>
      <c r="E57" s="134">
        <v>57.44</v>
      </c>
    </row>
    <row r="58" spans="1:6">
      <c r="A58" s="127" t="s">
        <v>7</v>
      </c>
      <c r="B58" s="124"/>
      <c r="C58" s="124"/>
      <c r="D58" s="131">
        <f>SUM(D51:D57)</f>
        <v>6.5100000000000007</v>
      </c>
      <c r="E58" s="135">
        <f>SUM(E51:E57)</f>
        <v>210.48</v>
      </c>
    </row>
    <row r="59" spans="1:6">
      <c r="A59" s="127"/>
      <c r="B59" s="124"/>
      <c r="C59" s="124"/>
      <c r="D59" s="131"/>
      <c r="E59" s="135"/>
    </row>
    <row r="60" spans="1:6">
      <c r="A60" s="124" t="s">
        <v>501</v>
      </c>
      <c r="B60" s="125" t="s">
        <v>172</v>
      </c>
      <c r="C60" s="124" t="s">
        <v>12</v>
      </c>
      <c r="D60" s="126">
        <v>0.05</v>
      </c>
      <c r="E60" s="134">
        <v>1.88</v>
      </c>
    </row>
    <row r="61" spans="1:6">
      <c r="A61" s="124" t="s">
        <v>413</v>
      </c>
      <c r="B61" s="125" t="s">
        <v>172</v>
      </c>
      <c r="C61" s="124" t="s">
        <v>12</v>
      </c>
      <c r="D61" s="126">
        <v>0.57999999999999996</v>
      </c>
      <c r="E61" s="134">
        <v>20.59</v>
      </c>
    </row>
    <row r="62" spans="1:6">
      <c r="A62" s="127" t="s">
        <v>7</v>
      </c>
      <c r="B62" s="124"/>
      <c r="C62" s="124"/>
      <c r="D62" s="131">
        <f>SUM(D60:D61)</f>
        <v>0.63</v>
      </c>
      <c r="E62" s="135">
        <f>SUM(E60:E61)</f>
        <v>22.47</v>
      </c>
    </row>
    <row r="63" spans="1:6">
      <c r="A63" s="127"/>
      <c r="B63" s="124"/>
      <c r="C63" s="124"/>
      <c r="D63" s="131"/>
      <c r="E63" s="135"/>
    </row>
    <row r="64" spans="1:6">
      <c r="A64" s="140" t="s">
        <v>37</v>
      </c>
      <c r="B64" s="141">
        <v>100051</v>
      </c>
      <c r="C64" s="140" t="s">
        <v>34</v>
      </c>
      <c r="D64" s="142">
        <v>6.4</v>
      </c>
      <c r="E64" s="143">
        <v>163.19999999999999</v>
      </c>
      <c r="F64" s="10" t="s">
        <v>508</v>
      </c>
    </row>
    <row r="65" spans="1:6">
      <c r="A65" s="140" t="s">
        <v>39</v>
      </c>
      <c r="B65" s="141">
        <v>100051</v>
      </c>
      <c r="C65" s="140" t="s">
        <v>34</v>
      </c>
      <c r="D65" s="142">
        <v>4.58</v>
      </c>
      <c r="E65" s="143">
        <v>113.44</v>
      </c>
      <c r="F65" s="10" t="s">
        <v>508</v>
      </c>
    </row>
    <row r="66" spans="1:6">
      <c r="A66" s="127" t="s">
        <v>7</v>
      </c>
      <c r="B66" s="124"/>
      <c r="C66" s="124"/>
      <c r="D66" s="131">
        <f>SUM(D64:D65)</f>
        <v>10.98</v>
      </c>
      <c r="E66" s="135">
        <f>SUM(E64:E65)</f>
        <v>276.64</v>
      </c>
    </row>
    <row r="67" spans="1:6">
      <c r="A67" s="127"/>
      <c r="B67" s="124"/>
      <c r="C67" s="124"/>
      <c r="D67" s="131"/>
      <c r="E67" s="135"/>
    </row>
    <row r="68" spans="1:6">
      <c r="A68" s="140" t="s">
        <v>41</v>
      </c>
      <c r="B68" s="141" t="s">
        <v>170</v>
      </c>
      <c r="C68" s="140" t="s">
        <v>518</v>
      </c>
      <c r="D68" s="142">
        <v>4.88</v>
      </c>
      <c r="E68" s="143">
        <f>50.85+81</f>
        <v>131.85</v>
      </c>
      <c r="F68" s="10" t="s">
        <v>508</v>
      </c>
    </row>
    <row r="69" spans="1:6">
      <c r="A69" s="127" t="s">
        <v>7</v>
      </c>
      <c r="B69" s="124"/>
      <c r="C69" s="124"/>
      <c r="D69" s="131">
        <f>SUM(D68)</f>
        <v>4.88</v>
      </c>
      <c r="E69" s="135">
        <f>SUM(E68)</f>
        <v>131.85</v>
      </c>
    </row>
    <row r="70" spans="1:6">
      <c r="A70" s="127"/>
      <c r="B70" s="124"/>
      <c r="C70" s="124"/>
      <c r="D70" s="131"/>
      <c r="E70" s="135"/>
    </row>
    <row r="71" spans="1:6">
      <c r="A71" s="124" t="s">
        <v>369</v>
      </c>
      <c r="B71" s="124">
        <v>450044</v>
      </c>
      <c r="C71" s="124" t="s">
        <v>519</v>
      </c>
      <c r="D71" s="126">
        <v>0.1</v>
      </c>
      <c r="E71" s="134">
        <v>2.4</v>
      </c>
    </row>
    <row r="72" spans="1:6">
      <c r="A72" s="127" t="s">
        <v>7</v>
      </c>
      <c r="B72" s="124"/>
      <c r="C72" s="124"/>
      <c r="D72" s="131">
        <f>SUM(D71)</f>
        <v>0.1</v>
      </c>
      <c r="E72" s="135">
        <f>SUM(E71)</f>
        <v>2.4</v>
      </c>
    </row>
    <row r="73" spans="1:6">
      <c r="A73" s="127"/>
      <c r="B73" s="124"/>
      <c r="C73" s="124"/>
      <c r="D73" s="126"/>
      <c r="E73" s="134"/>
    </row>
    <row r="74" spans="1:6">
      <c r="A74" s="124" t="s">
        <v>475</v>
      </c>
      <c r="B74" s="124" t="s">
        <v>476</v>
      </c>
      <c r="C74" s="124" t="s">
        <v>477</v>
      </c>
      <c r="D74" s="126">
        <v>2.1800000000000002</v>
      </c>
      <c r="E74" s="134">
        <v>78.73</v>
      </c>
    </row>
    <row r="75" spans="1:6">
      <c r="A75" s="127" t="s">
        <v>7</v>
      </c>
      <c r="B75" s="124"/>
      <c r="C75" s="124"/>
      <c r="D75" s="131">
        <f>SUM(D74)</f>
        <v>2.1800000000000002</v>
      </c>
      <c r="E75" s="135">
        <f>SUM(E74)</f>
        <v>78.73</v>
      </c>
    </row>
    <row r="76" spans="1:6">
      <c r="A76" s="127"/>
      <c r="B76" s="124"/>
      <c r="C76" s="124"/>
      <c r="D76" s="131"/>
      <c r="E76" s="135"/>
    </row>
    <row r="77" spans="1:6">
      <c r="A77" s="122" t="s">
        <v>194</v>
      </c>
      <c r="B77" s="123"/>
      <c r="C77" s="123"/>
      <c r="D77" s="131">
        <f>D75+D72+D69+D66+D62+D58+D49+D46+D41+D38+D35+D23+D19+D16+D10</f>
        <v>126.75</v>
      </c>
      <c r="E77" s="131">
        <f>E75+E72+E69+E66+E62+E58+E49+E46+E41+E38+E35+E23+E19+E16+E10</f>
        <v>3808.7500000000009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6"/>
  <sheetViews>
    <sheetView workbookViewId="0">
      <pane ySplit="1" topLeftCell="A135" activePane="bottomLeft" state="frozenSplit"/>
      <selection pane="bottomLeft" activeCell="B159" sqref="B159"/>
    </sheetView>
  </sheetViews>
  <sheetFormatPr defaultRowHeight="12.75"/>
  <cols>
    <col min="1" max="1" width="31.7109375" customWidth="1"/>
    <col min="2" max="2" width="22.7109375" customWidth="1"/>
    <col min="3" max="3" width="36.7109375" customWidth="1"/>
    <col min="4" max="4" width="22.7109375" customWidth="1"/>
    <col min="5" max="5" width="25.7109375" customWidth="1"/>
  </cols>
  <sheetData>
    <row r="1" spans="1:5">
      <c r="A1" s="1" t="s">
        <v>147</v>
      </c>
      <c r="B1" s="1" t="s">
        <v>148</v>
      </c>
      <c r="C1" s="1" t="s">
        <v>149</v>
      </c>
      <c r="D1" s="1" t="s">
        <v>150</v>
      </c>
      <c r="E1" s="1" t="s">
        <v>151</v>
      </c>
    </row>
    <row r="2" spans="1:5">
      <c r="A2" s="6" t="s">
        <v>20</v>
      </c>
      <c r="B2" s="6" t="s">
        <v>152</v>
      </c>
      <c r="C2" s="6" t="s">
        <v>15</v>
      </c>
      <c r="D2" s="7">
        <v>4.25</v>
      </c>
      <c r="E2" s="8">
        <v>108.38</v>
      </c>
    </row>
    <row r="3" spans="1:5">
      <c r="A3" s="6" t="s">
        <v>18</v>
      </c>
      <c r="B3" s="6" t="s">
        <v>152</v>
      </c>
      <c r="C3" s="6" t="s">
        <v>15</v>
      </c>
      <c r="D3" s="7">
        <v>2.38</v>
      </c>
      <c r="E3" s="8">
        <v>66.349999999999994</v>
      </c>
    </row>
    <row r="4" spans="1:5">
      <c r="A4" s="6" t="s">
        <v>17</v>
      </c>
      <c r="B4" s="6" t="s">
        <v>152</v>
      </c>
      <c r="C4" s="6" t="s">
        <v>15</v>
      </c>
      <c r="D4" s="7">
        <v>0.9</v>
      </c>
      <c r="E4" s="8">
        <v>20.93</v>
      </c>
    </row>
    <row r="5" spans="1:5">
      <c r="A5" s="6" t="s">
        <v>21</v>
      </c>
      <c r="B5" s="6" t="s">
        <v>152</v>
      </c>
      <c r="C5" s="6" t="s">
        <v>15</v>
      </c>
      <c r="D5" s="7">
        <v>2.2799999999999998</v>
      </c>
      <c r="E5" s="8">
        <v>71.27</v>
      </c>
    </row>
    <row r="6" spans="1:5">
      <c r="A6" s="6" t="s">
        <v>16</v>
      </c>
      <c r="B6" s="210" t="s">
        <v>152</v>
      </c>
      <c r="C6" s="6" t="s">
        <v>15</v>
      </c>
      <c r="D6" s="7">
        <v>8.0500000000000007</v>
      </c>
      <c r="E6" s="8">
        <v>202.14</v>
      </c>
    </row>
    <row r="7" spans="1:5">
      <c r="A7" s="204" t="s">
        <v>7</v>
      </c>
      <c r="B7" s="6"/>
      <c r="C7" s="6"/>
      <c r="D7" s="205">
        <f>SUM(D2:D6)</f>
        <v>17.86</v>
      </c>
      <c r="E7" s="206">
        <f>SUM(E2:E6)</f>
        <v>469.07</v>
      </c>
    </row>
    <row r="8" spans="1:5">
      <c r="A8" s="6"/>
      <c r="B8" s="6"/>
      <c r="C8" s="6"/>
      <c r="D8" s="7"/>
      <c r="E8" s="8"/>
    </row>
    <row r="9" spans="1:5">
      <c r="A9" s="2" t="s">
        <v>28</v>
      </c>
      <c r="B9" s="3" t="s">
        <v>217</v>
      </c>
      <c r="C9" s="2" t="s">
        <v>218</v>
      </c>
      <c r="D9" s="7">
        <v>0.78</v>
      </c>
      <c r="E9" s="8">
        <v>18.8</v>
      </c>
    </row>
    <row r="10" spans="1:5">
      <c r="A10" s="204" t="s">
        <v>7</v>
      </c>
      <c r="B10" s="6"/>
      <c r="C10" s="6"/>
      <c r="D10" s="207">
        <v>0.78</v>
      </c>
      <c r="E10" s="206">
        <v>18.8</v>
      </c>
    </row>
    <row r="11" spans="1:5">
      <c r="A11" s="6"/>
      <c r="B11" s="6"/>
      <c r="C11" s="6"/>
      <c r="D11" s="7"/>
      <c r="E11" s="8"/>
    </row>
    <row r="12" spans="1:5">
      <c r="A12" s="2" t="s">
        <v>209</v>
      </c>
      <c r="B12" s="3" t="s">
        <v>154</v>
      </c>
      <c r="C12" s="2" t="s">
        <v>23</v>
      </c>
      <c r="D12" s="7">
        <v>1.52</v>
      </c>
      <c r="E12" s="8">
        <v>41.56</v>
      </c>
    </row>
    <row r="13" spans="1:5">
      <c r="A13" s="6" t="s">
        <v>22</v>
      </c>
      <c r="B13" s="6" t="s">
        <v>154</v>
      </c>
      <c r="C13" s="6" t="s">
        <v>23</v>
      </c>
      <c r="D13" s="7">
        <v>0.6</v>
      </c>
      <c r="E13" s="8">
        <v>17.739999999999998</v>
      </c>
    </row>
    <row r="14" spans="1:5">
      <c r="A14" s="204" t="s">
        <v>7</v>
      </c>
      <c r="B14" s="6"/>
      <c r="C14" s="6"/>
      <c r="D14" s="207">
        <f>SUM(D12:D13)</f>
        <v>2.12</v>
      </c>
      <c r="E14" s="206">
        <f>SUM(E12:E13)</f>
        <v>59.3</v>
      </c>
    </row>
    <row r="15" spans="1:5">
      <c r="A15" s="6"/>
      <c r="B15" s="6"/>
      <c r="C15" s="6"/>
      <c r="D15" s="7"/>
      <c r="E15" s="8"/>
    </row>
    <row r="16" spans="1:5">
      <c r="A16" s="6" t="s">
        <v>30</v>
      </c>
      <c r="B16" s="6" t="s">
        <v>155</v>
      </c>
      <c r="C16" s="6" t="s">
        <v>31</v>
      </c>
      <c r="D16" s="7">
        <v>0.98</v>
      </c>
      <c r="E16" s="8">
        <v>25.08</v>
      </c>
    </row>
    <row r="17" spans="1:5">
      <c r="A17" s="6" t="s">
        <v>195</v>
      </c>
      <c r="B17" s="210" t="s">
        <v>155</v>
      </c>
      <c r="C17" s="6" t="s">
        <v>196</v>
      </c>
      <c r="D17" s="7">
        <v>1.03</v>
      </c>
      <c r="E17" s="8">
        <v>28.68</v>
      </c>
    </row>
    <row r="18" spans="1:5">
      <c r="A18" s="204" t="s">
        <v>7</v>
      </c>
      <c r="B18" s="6"/>
      <c r="C18" s="6"/>
      <c r="D18" s="207">
        <f>SUM(D16:D17)</f>
        <v>2.0099999999999998</v>
      </c>
      <c r="E18" s="206">
        <f>SUM(E16:E17)</f>
        <v>53.76</v>
      </c>
    </row>
    <row r="19" spans="1:5">
      <c r="A19" s="204"/>
      <c r="B19" s="6"/>
      <c r="C19" s="6"/>
      <c r="D19" s="207"/>
      <c r="E19" s="206"/>
    </row>
    <row r="20" spans="1:5">
      <c r="A20" s="6" t="s">
        <v>49</v>
      </c>
      <c r="B20" s="210" t="s">
        <v>198</v>
      </c>
      <c r="C20" s="6" t="s">
        <v>199</v>
      </c>
      <c r="D20" s="7">
        <v>10.55</v>
      </c>
      <c r="E20" s="8">
        <v>221.55</v>
      </c>
    </row>
    <row r="21" spans="1:5">
      <c r="A21" s="6" t="s">
        <v>219</v>
      </c>
      <c r="B21" s="210" t="s">
        <v>198</v>
      </c>
      <c r="C21" s="6" t="s">
        <v>199</v>
      </c>
      <c r="D21" s="7">
        <v>1.47</v>
      </c>
      <c r="E21" s="8">
        <v>49.19</v>
      </c>
    </row>
    <row r="22" spans="1:5">
      <c r="A22" s="204" t="s">
        <v>7</v>
      </c>
      <c r="B22" s="6"/>
      <c r="C22" s="6"/>
      <c r="D22" s="207">
        <f>SUM(D20:D21)</f>
        <v>12.020000000000001</v>
      </c>
      <c r="E22" s="206">
        <f>SUM(E20:E21)</f>
        <v>270.74</v>
      </c>
    </row>
    <row r="23" spans="1:5">
      <c r="A23" s="6"/>
      <c r="B23" s="6"/>
      <c r="C23" s="6"/>
      <c r="D23" s="7"/>
      <c r="E23" s="8"/>
    </row>
    <row r="24" spans="1:5">
      <c r="A24" s="6" t="s">
        <v>14</v>
      </c>
      <c r="B24" s="6" t="s">
        <v>156</v>
      </c>
      <c r="C24" s="6" t="s">
        <v>91</v>
      </c>
      <c r="D24" s="7">
        <v>15.27</v>
      </c>
      <c r="E24" s="8">
        <v>389.3</v>
      </c>
    </row>
    <row r="25" spans="1:5">
      <c r="A25" s="6" t="s">
        <v>94</v>
      </c>
      <c r="B25" s="6" t="s">
        <v>156</v>
      </c>
      <c r="C25" s="6" t="s">
        <v>91</v>
      </c>
      <c r="D25" s="7">
        <v>11.1</v>
      </c>
      <c r="E25" s="8">
        <v>291.38</v>
      </c>
    </row>
    <row r="26" spans="1:5">
      <c r="A26" s="6" t="s">
        <v>92</v>
      </c>
      <c r="B26" s="6" t="s">
        <v>156</v>
      </c>
      <c r="C26" s="6" t="s">
        <v>91</v>
      </c>
      <c r="D26" s="7">
        <v>10.38</v>
      </c>
      <c r="E26" s="8">
        <v>266.8</v>
      </c>
    </row>
    <row r="27" spans="1:5">
      <c r="A27" s="204" t="s">
        <v>7</v>
      </c>
      <c r="B27" s="6"/>
      <c r="C27" s="6"/>
      <c r="D27" s="207">
        <f>SUM(D24:D26)</f>
        <v>36.75</v>
      </c>
      <c r="E27" s="206">
        <f>SUM(E24:E26)</f>
        <v>947.48</v>
      </c>
    </row>
    <row r="28" spans="1:5">
      <c r="A28" s="6"/>
      <c r="B28" s="6"/>
      <c r="C28" s="6"/>
      <c r="D28" s="7"/>
      <c r="E28" s="8"/>
    </row>
    <row r="29" spans="1:5">
      <c r="A29" s="6" t="s">
        <v>83</v>
      </c>
      <c r="B29" s="6" t="s">
        <v>157</v>
      </c>
      <c r="C29" s="6" t="s">
        <v>66</v>
      </c>
      <c r="D29" s="7">
        <v>7.68</v>
      </c>
      <c r="E29" s="8">
        <v>144.06</v>
      </c>
    </row>
    <row r="30" spans="1:5">
      <c r="A30" s="6" t="s">
        <v>75</v>
      </c>
      <c r="B30" s="6" t="s">
        <v>157</v>
      </c>
      <c r="C30" s="6" t="s">
        <v>66</v>
      </c>
      <c r="D30" s="7">
        <v>4.3</v>
      </c>
      <c r="E30" s="8">
        <v>77.400000000000006</v>
      </c>
    </row>
    <row r="31" spans="1:5">
      <c r="A31" s="2" t="s">
        <v>210</v>
      </c>
      <c r="B31" s="3" t="s">
        <v>157</v>
      </c>
      <c r="C31" s="2" t="s">
        <v>66</v>
      </c>
      <c r="D31" s="7">
        <v>5.6</v>
      </c>
      <c r="E31" s="8">
        <v>100.8</v>
      </c>
    </row>
    <row r="32" spans="1:5">
      <c r="A32" s="6" t="s">
        <v>74</v>
      </c>
      <c r="B32" s="6" t="s">
        <v>157</v>
      </c>
      <c r="C32" s="6" t="s">
        <v>66</v>
      </c>
      <c r="D32" s="7">
        <v>22.45</v>
      </c>
      <c r="E32" s="8">
        <v>437.78</v>
      </c>
    </row>
    <row r="33" spans="1:5">
      <c r="A33" s="6" t="s">
        <v>87</v>
      </c>
      <c r="B33" s="6" t="s">
        <v>157</v>
      </c>
      <c r="C33" s="6" t="s">
        <v>66</v>
      </c>
      <c r="D33" s="7">
        <v>14.83</v>
      </c>
      <c r="E33" s="8">
        <v>333.75</v>
      </c>
    </row>
    <row r="34" spans="1:5">
      <c r="A34" s="6" t="s">
        <v>89</v>
      </c>
      <c r="B34" s="6" t="s">
        <v>157</v>
      </c>
      <c r="C34" s="6" t="s">
        <v>66</v>
      </c>
      <c r="D34" s="7">
        <v>11.33</v>
      </c>
      <c r="E34" s="8">
        <v>195.5</v>
      </c>
    </row>
    <row r="35" spans="1:5">
      <c r="A35" s="6" t="s">
        <v>86</v>
      </c>
      <c r="B35" s="6" t="s">
        <v>157</v>
      </c>
      <c r="C35" s="6" t="s">
        <v>66</v>
      </c>
      <c r="D35" s="7">
        <v>6.03</v>
      </c>
      <c r="E35" s="8">
        <v>117.65</v>
      </c>
    </row>
    <row r="36" spans="1:5">
      <c r="A36" s="6" t="s">
        <v>84</v>
      </c>
      <c r="B36" s="6" t="s">
        <v>157</v>
      </c>
      <c r="C36" s="6" t="s">
        <v>66</v>
      </c>
      <c r="D36" s="7">
        <v>13.6</v>
      </c>
      <c r="E36" s="8">
        <v>244.8</v>
      </c>
    </row>
    <row r="37" spans="1:5">
      <c r="A37" s="6" t="s">
        <v>201</v>
      </c>
      <c r="B37" s="210" t="s">
        <v>157</v>
      </c>
      <c r="C37" s="6" t="s">
        <v>66</v>
      </c>
      <c r="D37" s="7">
        <v>3.38</v>
      </c>
      <c r="E37" s="8">
        <v>60.9</v>
      </c>
    </row>
    <row r="38" spans="1:5">
      <c r="A38" s="6" t="s">
        <v>220</v>
      </c>
      <c r="B38" s="210" t="s">
        <v>157</v>
      </c>
      <c r="C38" s="6" t="s">
        <v>66</v>
      </c>
      <c r="D38" s="7">
        <v>4.8</v>
      </c>
      <c r="E38" s="8">
        <v>82.8</v>
      </c>
    </row>
    <row r="39" spans="1:5">
      <c r="A39" s="6" t="s">
        <v>85</v>
      </c>
      <c r="B39" s="6" t="s">
        <v>157</v>
      </c>
      <c r="C39" s="6" t="s">
        <v>66</v>
      </c>
      <c r="D39" s="7">
        <v>31.68</v>
      </c>
      <c r="E39" s="8">
        <v>735.69</v>
      </c>
    </row>
    <row r="40" spans="1:5">
      <c r="A40" s="6" t="s">
        <v>159</v>
      </c>
      <c r="B40" s="6" t="s">
        <v>157</v>
      </c>
      <c r="C40" s="6" t="s">
        <v>66</v>
      </c>
      <c r="D40" s="7">
        <v>23.2</v>
      </c>
      <c r="E40" s="8">
        <v>452.4</v>
      </c>
    </row>
    <row r="41" spans="1:5">
      <c r="A41" s="6" t="s">
        <v>88</v>
      </c>
      <c r="B41" s="6" t="s">
        <v>157</v>
      </c>
      <c r="C41" s="6" t="s">
        <v>66</v>
      </c>
      <c r="D41" s="7">
        <v>16.329999999999998</v>
      </c>
      <c r="E41" s="8">
        <v>294</v>
      </c>
    </row>
    <row r="42" spans="1:5">
      <c r="A42" s="6" t="s">
        <v>35</v>
      </c>
      <c r="B42" s="6" t="s">
        <v>157</v>
      </c>
      <c r="C42" s="6" t="s">
        <v>66</v>
      </c>
      <c r="D42" s="7">
        <v>43.85</v>
      </c>
      <c r="E42" s="8">
        <v>964.26</v>
      </c>
    </row>
    <row r="43" spans="1:5">
      <c r="A43" s="6" t="s">
        <v>79</v>
      </c>
      <c r="B43" s="6" t="s">
        <v>157</v>
      </c>
      <c r="C43" s="6" t="s">
        <v>66</v>
      </c>
      <c r="D43" s="7">
        <v>9.83</v>
      </c>
      <c r="E43" s="8">
        <v>228.63</v>
      </c>
    </row>
    <row r="44" spans="1:5">
      <c r="A44" s="6" t="s">
        <v>202</v>
      </c>
      <c r="B44" s="210" t="s">
        <v>157</v>
      </c>
      <c r="C44" s="6" t="s">
        <v>66</v>
      </c>
      <c r="D44" s="7">
        <v>23</v>
      </c>
      <c r="E44" s="8">
        <v>448.5</v>
      </c>
    </row>
    <row r="45" spans="1:5">
      <c r="A45" s="6" t="s">
        <v>160</v>
      </c>
      <c r="B45" s="6" t="s">
        <v>157</v>
      </c>
      <c r="C45" s="6" t="s">
        <v>66</v>
      </c>
      <c r="D45" s="7">
        <v>1.08</v>
      </c>
      <c r="E45" s="8">
        <v>22.75</v>
      </c>
    </row>
    <row r="46" spans="1:5">
      <c r="A46" s="6" t="s">
        <v>161</v>
      </c>
      <c r="B46" s="6" t="s">
        <v>157</v>
      </c>
      <c r="C46" s="6" t="s">
        <v>66</v>
      </c>
      <c r="D46" s="7">
        <v>17</v>
      </c>
      <c r="E46" s="8">
        <v>331.5</v>
      </c>
    </row>
    <row r="47" spans="1:5">
      <c r="A47" s="6" t="s">
        <v>78</v>
      </c>
      <c r="B47" s="6" t="s">
        <v>157</v>
      </c>
      <c r="C47" s="6" t="s">
        <v>66</v>
      </c>
      <c r="D47" s="7">
        <v>0.68</v>
      </c>
      <c r="E47" s="8">
        <v>12.26</v>
      </c>
    </row>
    <row r="48" spans="1:5">
      <c r="A48" s="204" t="s">
        <v>7</v>
      </c>
      <c r="B48" s="6"/>
      <c r="C48" s="6"/>
      <c r="D48" s="207">
        <f>SUM(D29:D47)</f>
        <v>260.65000000000003</v>
      </c>
      <c r="E48" s="206">
        <f>SUM(E29:E47)</f>
        <v>5285.43</v>
      </c>
    </row>
    <row r="49" spans="1:5">
      <c r="A49" s="6"/>
      <c r="B49" s="6"/>
      <c r="C49" s="6"/>
      <c r="D49" s="7"/>
      <c r="E49" s="8"/>
    </row>
    <row r="50" spans="1:5">
      <c r="A50" s="6" t="s">
        <v>52</v>
      </c>
      <c r="B50" s="6" t="s">
        <v>162</v>
      </c>
      <c r="C50" s="6" t="s">
        <v>51</v>
      </c>
      <c r="D50" s="7">
        <v>12.37</v>
      </c>
      <c r="E50" s="8">
        <v>268.98</v>
      </c>
    </row>
    <row r="51" spans="1:5">
      <c r="A51" s="6" t="s">
        <v>163</v>
      </c>
      <c r="B51" s="6" t="s">
        <v>162</v>
      </c>
      <c r="C51" s="6" t="s">
        <v>51</v>
      </c>
      <c r="D51" s="7">
        <v>22.8</v>
      </c>
      <c r="E51" s="8">
        <v>547.20000000000005</v>
      </c>
    </row>
    <row r="52" spans="1:5">
      <c r="A52" s="6" t="s">
        <v>50</v>
      </c>
      <c r="B52" s="210" t="s">
        <v>162</v>
      </c>
      <c r="C52" s="6" t="s">
        <v>51</v>
      </c>
      <c r="D52" s="7">
        <v>0.5</v>
      </c>
      <c r="E52" s="8">
        <v>8.25</v>
      </c>
    </row>
    <row r="53" spans="1:5">
      <c r="A53" s="204" t="s">
        <v>7</v>
      </c>
      <c r="B53" s="6"/>
      <c r="C53" s="6"/>
      <c r="D53" s="207">
        <f>SUM(D50:D52)</f>
        <v>35.67</v>
      </c>
      <c r="E53" s="206">
        <f>SUM(E50:E52)</f>
        <v>824.43000000000006</v>
      </c>
    </row>
    <row r="54" spans="1:5">
      <c r="A54" s="6"/>
      <c r="B54" s="6"/>
      <c r="C54" s="6"/>
      <c r="D54" s="7"/>
      <c r="E54" s="8"/>
    </row>
    <row r="55" spans="1:5">
      <c r="A55" s="2" t="s">
        <v>203</v>
      </c>
      <c r="B55" s="3" t="s">
        <v>164</v>
      </c>
      <c r="C55" s="2" t="s">
        <v>60</v>
      </c>
      <c r="D55" s="7">
        <v>8.07</v>
      </c>
      <c r="E55" s="8">
        <v>151.25</v>
      </c>
    </row>
    <row r="56" spans="1:5">
      <c r="A56" s="6" t="s">
        <v>63</v>
      </c>
      <c r="B56" s="6" t="s">
        <v>164</v>
      </c>
      <c r="C56" s="6" t="s">
        <v>60</v>
      </c>
      <c r="D56" s="7">
        <v>8.9499999999999993</v>
      </c>
      <c r="E56" s="8">
        <v>154.38999999999999</v>
      </c>
    </row>
    <row r="57" spans="1:5">
      <c r="A57" s="6" t="s">
        <v>64</v>
      </c>
      <c r="B57" s="6" t="s">
        <v>164</v>
      </c>
      <c r="C57" s="6" t="s">
        <v>60</v>
      </c>
      <c r="D57" s="7">
        <v>7.32</v>
      </c>
      <c r="E57" s="8">
        <v>120.73</v>
      </c>
    </row>
    <row r="58" spans="1:5">
      <c r="A58" s="204" t="s">
        <v>7</v>
      </c>
      <c r="B58" s="6"/>
      <c r="C58" s="6"/>
      <c r="D58" s="207">
        <f>SUM(D55:D57)</f>
        <v>24.34</v>
      </c>
      <c r="E58" s="206">
        <f>SUM(E55:E57)</f>
        <v>426.37</v>
      </c>
    </row>
    <row r="59" spans="1:5">
      <c r="A59" s="204"/>
      <c r="B59" s="6"/>
      <c r="C59" s="6"/>
      <c r="D59" s="207"/>
      <c r="E59" s="206"/>
    </row>
    <row r="60" spans="1:5">
      <c r="A60" s="6" t="s">
        <v>221</v>
      </c>
      <c r="B60" s="210" t="s">
        <v>165</v>
      </c>
      <c r="C60" s="6" t="s">
        <v>45</v>
      </c>
      <c r="D60" s="7">
        <v>22.75</v>
      </c>
      <c r="E60" s="8">
        <v>426.56</v>
      </c>
    </row>
    <row r="61" spans="1:5">
      <c r="A61" s="204" t="s">
        <v>7</v>
      </c>
      <c r="B61" s="6"/>
      <c r="C61" s="6"/>
      <c r="D61" s="207">
        <v>22.75</v>
      </c>
      <c r="E61" s="206">
        <v>426.56</v>
      </c>
    </row>
    <row r="62" spans="1:5">
      <c r="A62" s="2"/>
      <c r="B62" s="3"/>
      <c r="C62" s="2"/>
      <c r="D62" s="7"/>
      <c r="E62" s="8"/>
    </row>
    <row r="63" spans="1:5">
      <c r="A63" s="6" t="s">
        <v>166</v>
      </c>
      <c r="B63" s="6" t="s">
        <v>167</v>
      </c>
      <c r="C63" s="6" t="s">
        <v>54</v>
      </c>
      <c r="D63" s="7">
        <v>2.98</v>
      </c>
      <c r="E63" s="8">
        <v>67.13</v>
      </c>
    </row>
    <row r="64" spans="1:5">
      <c r="A64" s="6" t="s">
        <v>55</v>
      </c>
      <c r="B64" s="6" t="s">
        <v>167</v>
      </c>
      <c r="C64" s="6" t="s">
        <v>54</v>
      </c>
      <c r="D64" s="7">
        <v>5.12</v>
      </c>
      <c r="E64" s="8">
        <v>109.83</v>
      </c>
    </row>
    <row r="65" spans="1:5">
      <c r="A65" s="6" t="s">
        <v>58</v>
      </c>
      <c r="B65" s="6" t="s">
        <v>167</v>
      </c>
      <c r="C65" s="6" t="s">
        <v>54</v>
      </c>
      <c r="D65" s="7">
        <v>5.75</v>
      </c>
      <c r="E65" s="8">
        <v>147.32</v>
      </c>
    </row>
    <row r="66" spans="1:5">
      <c r="A66" s="6" t="s">
        <v>57</v>
      </c>
      <c r="B66" s="6" t="s">
        <v>167</v>
      </c>
      <c r="C66" s="6" t="s">
        <v>54</v>
      </c>
      <c r="D66" s="7">
        <v>4.3</v>
      </c>
      <c r="E66" s="8">
        <v>93.53</v>
      </c>
    </row>
    <row r="67" spans="1:5">
      <c r="A67" s="204" t="s">
        <v>7</v>
      </c>
      <c r="B67" s="6"/>
      <c r="C67" s="6"/>
      <c r="D67" s="207">
        <f>SUM(D63:D66)</f>
        <v>18.149999999999999</v>
      </c>
      <c r="E67" s="206">
        <f>SUM(E63:E66)</f>
        <v>417.80999999999995</v>
      </c>
    </row>
    <row r="68" spans="1:5">
      <c r="A68" s="204"/>
      <c r="B68" s="6"/>
      <c r="C68" s="6"/>
      <c r="D68" s="207"/>
      <c r="E68" s="206"/>
    </row>
    <row r="69" spans="1:5">
      <c r="A69" s="6" t="s">
        <v>42</v>
      </c>
      <c r="B69" s="210" t="s">
        <v>170</v>
      </c>
      <c r="C69" s="6" t="s">
        <v>43</v>
      </c>
      <c r="D69" s="7">
        <v>3.68</v>
      </c>
      <c r="E69" s="8">
        <v>109.12</v>
      </c>
    </row>
    <row r="70" spans="1:5">
      <c r="A70" s="204" t="s">
        <v>7</v>
      </c>
      <c r="B70" s="6"/>
      <c r="C70" s="6"/>
      <c r="D70" s="207">
        <v>5.87</v>
      </c>
      <c r="E70" s="206">
        <v>173.8</v>
      </c>
    </row>
    <row r="71" spans="1:5">
      <c r="A71" s="6"/>
      <c r="B71" s="6"/>
      <c r="C71" s="6"/>
      <c r="D71" s="7"/>
      <c r="E71" s="8"/>
    </row>
    <row r="72" spans="1:5">
      <c r="A72" s="6" t="s">
        <v>27</v>
      </c>
      <c r="B72" s="6" t="s">
        <v>171</v>
      </c>
      <c r="C72" s="6" t="s">
        <v>25</v>
      </c>
      <c r="D72" s="7">
        <v>1.95</v>
      </c>
      <c r="E72" s="8">
        <v>51.22</v>
      </c>
    </row>
    <row r="73" spans="1:5">
      <c r="A73" s="6" t="s">
        <v>222</v>
      </c>
      <c r="B73" s="210" t="s">
        <v>171</v>
      </c>
      <c r="C73" s="6" t="s">
        <v>25</v>
      </c>
      <c r="D73" s="7">
        <v>4.55</v>
      </c>
      <c r="E73" s="8">
        <v>119.44</v>
      </c>
    </row>
    <row r="74" spans="1:5">
      <c r="A74" s="6" t="s">
        <v>26</v>
      </c>
      <c r="B74" s="6" t="s">
        <v>171</v>
      </c>
      <c r="C74" s="6" t="s">
        <v>25</v>
      </c>
      <c r="D74" s="7">
        <v>4.3499999999999996</v>
      </c>
      <c r="E74" s="8">
        <v>116.83</v>
      </c>
    </row>
    <row r="75" spans="1:5">
      <c r="A75" s="6" t="s">
        <v>223</v>
      </c>
      <c r="B75" s="210" t="s">
        <v>171</v>
      </c>
      <c r="C75" s="6" t="s">
        <v>25</v>
      </c>
      <c r="D75" s="7">
        <v>1.67</v>
      </c>
      <c r="E75" s="8">
        <v>42.5</v>
      </c>
    </row>
    <row r="76" spans="1:5">
      <c r="A76" s="204" t="s">
        <v>7</v>
      </c>
      <c r="B76" s="6"/>
      <c r="C76" s="6"/>
      <c r="D76" s="207">
        <f>SUM(D72:D75)</f>
        <v>12.52</v>
      </c>
      <c r="E76" s="206">
        <f>SUM(E72:E75)</f>
        <v>329.99</v>
      </c>
    </row>
    <row r="77" spans="1:5">
      <c r="A77" s="6"/>
      <c r="B77" s="6"/>
      <c r="C77" s="6"/>
      <c r="D77" s="7"/>
      <c r="E77" s="8"/>
    </row>
    <row r="78" spans="1:5">
      <c r="A78" s="6" t="s">
        <v>11</v>
      </c>
      <c r="B78" s="6" t="s">
        <v>172</v>
      </c>
      <c r="C78" s="6" t="s">
        <v>12</v>
      </c>
      <c r="D78" s="7">
        <v>4.03</v>
      </c>
      <c r="E78" s="8">
        <v>130.08000000000001</v>
      </c>
    </row>
    <row r="79" spans="1:5">
      <c r="A79" s="6" t="s">
        <v>13</v>
      </c>
      <c r="B79" s="6" t="s">
        <v>172</v>
      </c>
      <c r="C79" s="6" t="s">
        <v>12</v>
      </c>
      <c r="D79" s="7">
        <v>12.53</v>
      </c>
      <c r="E79" s="8">
        <v>451.95</v>
      </c>
    </row>
    <row r="80" spans="1:5">
      <c r="A80" s="204" t="s">
        <v>7</v>
      </c>
      <c r="B80" s="6"/>
      <c r="C80" s="6"/>
      <c r="D80" s="207">
        <f>SUM(D78:D79)</f>
        <v>16.559999999999999</v>
      </c>
      <c r="E80" s="206">
        <f>SUM(E78:E79)</f>
        <v>582.03</v>
      </c>
    </row>
    <row r="81" spans="1:5">
      <c r="A81" s="204"/>
      <c r="B81" s="6"/>
      <c r="C81" s="6"/>
      <c r="D81" s="207"/>
      <c r="E81" s="206"/>
    </row>
    <row r="82" spans="1:5">
      <c r="A82" s="6" t="s">
        <v>205</v>
      </c>
      <c r="B82" s="6">
        <v>100035</v>
      </c>
      <c r="C82" s="6" t="s">
        <v>206</v>
      </c>
      <c r="D82" s="7">
        <v>4.3499999999999996</v>
      </c>
      <c r="E82" s="8">
        <v>125.48</v>
      </c>
    </row>
    <row r="83" spans="1:5">
      <c r="A83" s="204" t="s">
        <v>7</v>
      </c>
      <c r="B83" s="6"/>
      <c r="C83" s="6"/>
      <c r="D83" s="207">
        <f>SUM(D82)</f>
        <v>4.3499999999999996</v>
      </c>
      <c r="E83" s="206">
        <f>SUM(E82)</f>
        <v>125.48</v>
      </c>
    </row>
    <row r="84" spans="1:5">
      <c r="A84" s="6"/>
      <c r="B84" s="6"/>
      <c r="C84" s="6"/>
      <c r="D84" s="7"/>
      <c r="E84" s="8"/>
    </row>
    <row r="85" spans="1:5">
      <c r="A85" s="2" t="s">
        <v>36</v>
      </c>
      <c r="B85" s="6">
        <v>100051</v>
      </c>
      <c r="C85" s="2" t="s">
        <v>34</v>
      </c>
      <c r="D85" s="7">
        <v>25.5</v>
      </c>
      <c r="E85" s="8">
        <v>535.5</v>
      </c>
    </row>
    <row r="86" spans="1:5">
      <c r="A86" s="6" t="s">
        <v>212</v>
      </c>
      <c r="B86" s="6">
        <v>100051</v>
      </c>
      <c r="C86" s="6" t="s">
        <v>34</v>
      </c>
      <c r="D86" s="7">
        <v>1.5</v>
      </c>
      <c r="E86" s="8">
        <v>25.88</v>
      </c>
    </row>
    <row r="87" spans="1:5">
      <c r="A87" s="6" t="s">
        <v>37</v>
      </c>
      <c r="B87" s="6">
        <v>100051</v>
      </c>
      <c r="C87" s="6" t="s">
        <v>34</v>
      </c>
      <c r="D87" s="7">
        <v>8.5</v>
      </c>
      <c r="E87" s="8">
        <v>175.57</v>
      </c>
    </row>
    <row r="88" spans="1:5">
      <c r="A88" s="6" t="s">
        <v>213</v>
      </c>
      <c r="B88" s="6" t="s">
        <v>174</v>
      </c>
      <c r="C88" s="6" t="s">
        <v>34</v>
      </c>
      <c r="D88" s="7">
        <v>1</v>
      </c>
      <c r="E88" s="8">
        <v>17.25</v>
      </c>
    </row>
    <row r="89" spans="1:5">
      <c r="A89" s="204" t="s">
        <v>7</v>
      </c>
      <c r="B89" s="6"/>
      <c r="C89" s="6"/>
      <c r="D89" s="207">
        <f>SUM(D85:D88)</f>
        <v>36.5</v>
      </c>
      <c r="E89" s="206">
        <f>SUM(E85:E88)</f>
        <v>754.2</v>
      </c>
    </row>
    <row r="90" spans="1:5">
      <c r="A90" s="204"/>
      <c r="B90" s="6"/>
      <c r="C90" s="6"/>
      <c r="D90" s="207"/>
      <c r="E90" s="206"/>
    </row>
    <row r="91" spans="1:5">
      <c r="A91" s="6" t="s">
        <v>224</v>
      </c>
      <c r="B91" s="210" t="s">
        <v>225</v>
      </c>
      <c r="C91" s="6" t="s">
        <v>226</v>
      </c>
      <c r="D91" s="7">
        <v>1.08</v>
      </c>
      <c r="E91" s="8">
        <v>35.15</v>
      </c>
    </row>
    <row r="92" spans="1:5">
      <c r="A92" s="204" t="s">
        <v>7</v>
      </c>
      <c r="B92" s="6"/>
      <c r="C92" s="6"/>
      <c r="D92" s="207">
        <v>1.08</v>
      </c>
      <c r="E92" s="206">
        <v>35.15</v>
      </c>
    </row>
    <row r="93" spans="1:5">
      <c r="A93" s="6"/>
      <c r="B93" s="6"/>
      <c r="C93" s="6"/>
      <c r="D93" s="7"/>
      <c r="E93" s="8"/>
    </row>
    <row r="94" spans="1:5">
      <c r="A94" s="6" t="s">
        <v>136</v>
      </c>
      <c r="B94" s="6" t="s">
        <v>177</v>
      </c>
      <c r="C94" s="6" t="s">
        <v>137</v>
      </c>
      <c r="D94" s="7">
        <v>1.78</v>
      </c>
      <c r="E94" s="8">
        <v>50.83</v>
      </c>
    </row>
    <row r="95" spans="1:5">
      <c r="A95" s="204" t="s">
        <v>7</v>
      </c>
      <c r="B95" s="6"/>
      <c r="C95" s="6"/>
      <c r="D95" s="207">
        <f>SUM(D94)</f>
        <v>1.78</v>
      </c>
      <c r="E95" s="206">
        <f>SUM(E94)</f>
        <v>50.83</v>
      </c>
    </row>
    <row r="96" spans="1:5">
      <c r="A96" s="6"/>
      <c r="B96" s="6"/>
      <c r="C96" s="6"/>
      <c r="D96" s="7"/>
      <c r="E96" s="8"/>
    </row>
    <row r="97" spans="1:5">
      <c r="A97" s="6" t="s">
        <v>145</v>
      </c>
      <c r="B97" s="6" t="s">
        <v>178</v>
      </c>
      <c r="C97" s="6" t="s">
        <v>146</v>
      </c>
      <c r="D97" s="7">
        <v>2.4</v>
      </c>
      <c r="E97" s="8">
        <v>69.23</v>
      </c>
    </row>
    <row r="98" spans="1:5">
      <c r="A98" s="204" t="s">
        <v>7</v>
      </c>
      <c r="B98" s="6"/>
      <c r="C98" s="6"/>
      <c r="D98" s="207">
        <f>SUM(D97)</f>
        <v>2.4</v>
      </c>
      <c r="E98" s="206">
        <f>SUM(E97)</f>
        <v>69.23</v>
      </c>
    </row>
    <row r="99" spans="1:5">
      <c r="A99" s="6"/>
      <c r="B99" s="6"/>
      <c r="C99" s="6"/>
      <c r="D99" s="7"/>
      <c r="E99" s="8"/>
    </row>
    <row r="100" spans="1:5">
      <c r="A100" s="6" t="s">
        <v>143</v>
      </c>
      <c r="B100" s="6" t="s">
        <v>179</v>
      </c>
      <c r="C100" s="6" t="s">
        <v>141</v>
      </c>
      <c r="D100" s="7">
        <v>3.13</v>
      </c>
      <c r="E100" s="8">
        <v>60.96</v>
      </c>
    </row>
    <row r="101" spans="1:5">
      <c r="A101" s="2" t="s">
        <v>142</v>
      </c>
      <c r="B101" s="6">
        <v>290051</v>
      </c>
      <c r="C101" s="2" t="s">
        <v>141</v>
      </c>
      <c r="D101" s="7">
        <v>0.62</v>
      </c>
      <c r="E101" s="8">
        <v>9.25</v>
      </c>
    </row>
    <row r="102" spans="1:5">
      <c r="A102" s="6" t="s">
        <v>215</v>
      </c>
      <c r="B102" s="6">
        <v>290051</v>
      </c>
      <c r="C102" s="6" t="s">
        <v>141</v>
      </c>
      <c r="D102" s="7">
        <v>3.68</v>
      </c>
      <c r="E102" s="8">
        <v>56.3</v>
      </c>
    </row>
    <row r="103" spans="1:5">
      <c r="A103" s="6" t="s">
        <v>144</v>
      </c>
      <c r="B103" s="6" t="s">
        <v>179</v>
      </c>
      <c r="C103" s="6" t="s">
        <v>141</v>
      </c>
      <c r="D103" s="7">
        <v>4.45</v>
      </c>
      <c r="E103" s="8">
        <v>78.63</v>
      </c>
    </row>
    <row r="104" spans="1:5">
      <c r="A104" s="204" t="s">
        <v>7</v>
      </c>
      <c r="B104" s="6"/>
      <c r="C104" s="6"/>
      <c r="D104" s="207">
        <f>SUM(D100:D103)</f>
        <v>11.879999999999999</v>
      </c>
      <c r="E104" s="206">
        <f>SUM(E100:E103)</f>
        <v>205.14</v>
      </c>
    </row>
    <row r="105" spans="1:5">
      <c r="A105" s="6"/>
      <c r="B105" s="6"/>
      <c r="C105" s="6"/>
      <c r="D105" s="7"/>
      <c r="E105" s="8"/>
    </row>
    <row r="106" spans="1:5">
      <c r="A106" s="6" t="s">
        <v>95</v>
      </c>
      <c r="B106" s="6" t="s">
        <v>180</v>
      </c>
      <c r="C106" s="6" t="s">
        <v>96</v>
      </c>
      <c r="D106" s="7">
        <v>17.02</v>
      </c>
      <c r="E106" s="8">
        <v>459.19</v>
      </c>
    </row>
    <row r="107" spans="1:5">
      <c r="A107" s="204" t="s">
        <v>7</v>
      </c>
      <c r="B107" s="6"/>
      <c r="C107" s="6"/>
      <c r="D107" s="207">
        <f>SUM(D106)</f>
        <v>17.02</v>
      </c>
      <c r="E107" s="206">
        <f>SUM(E106)</f>
        <v>459.19</v>
      </c>
    </row>
    <row r="108" spans="1:5">
      <c r="A108" s="6"/>
      <c r="B108" s="6"/>
      <c r="C108" s="6"/>
      <c r="D108" s="7"/>
      <c r="E108" s="8"/>
    </row>
    <row r="109" spans="1:5">
      <c r="A109" s="6" t="s">
        <v>99</v>
      </c>
      <c r="B109" s="6" t="s">
        <v>181</v>
      </c>
      <c r="C109" s="6" t="s">
        <v>98</v>
      </c>
      <c r="D109" s="7">
        <v>2.38</v>
      </c>
      <c r="E109" s="8">
        <v>55.38</v>
      </c>
    </row>
    <row r="110" spans="1:5">
      <c r="A110" s="6" t="s">
        <v>97</v>
      </c>
      <c r="B110" s="6" t="s">
        <v>181</v>
      </c>
      <c r="C110" s="6" t="s">
        <v>98</v>
      </c>
      <c r="D110" s="7">
        <v>2.97</v>
      </c>
      <c r="E110" s="8">
        <v>88.15</v>
      </c>
    </row>
    <row r="111" spans="1:5">
      <c r="A111" s="204" t="s">
        <v>7</v>
      </c>
      <c r="B111" s="6"/>
      <c r="C111" s="6"/>
      <c r="D111" s="207">
        <f>SUM(D109:D110)</f>
        <v>5.35</v>
      </c>
      <c r="E111" s="206">
        <f>SUM(E109:E110)</f>
        <v>143.53</v>
      </c>
    </row>
    <row r="112" spans="1:5">
      <c r="A112" s="6"/>
      <c r="B112" s="6"/>
      <c r="C112" s="6"/>
      <c r="D112" s="7"/>
      <c r="E112" s="8"/>
    </row>
    <row r="113" spans="1:5">
      <c r="A113" s="6" t="s">
        <v>100</v>
      </c>
      <c r="B113" s="6" t="s">
        <v>182</v>
      </c>
      <c r="C113" s="6" t="s">
        <v>101</v>
      </c>
      <c r="D113" s="7">
        <v>5.0999999999999996</v>
      </c>
      <c r="E113" s="8">
        <v>147.87</v>
      </c>
    </row>
    <row r="114" spans="1:5">
      <c r="A114" s="204" t="s">
        <v>7</v>
      </c>
      <c r="B114" s="6"/>
      <c r="C114" s="6"/>
      <c r="D114" s="207">
        <f>SUM(D113)</f>
        <v>5.0999999999999996</v>
      </c>
      <c r="E114" s="206">
        <f>SUM(E113)</f>
        <v>147.87</v>
      </c>
    </row>
    <row r="115" spans="1:5">
      <c r="A115" s="204"/>
      <c r="B115" s="6"/>
      <c r="C115" s="6"/>
      <c r="D115" s="207"/>
      <c r="E115" s="206"/>
    </row>
    <row r="116" spans="1:5">
      <c r="A116" s="6" t="s">
        <v>183</v>
      </c>
      <c r="B116" s="6">
        <v>450042</v>
      </c>
      <c r="C116" s="6" t="s">
        <v>184</v>
      </c>
      <c r="D116" s="7">
        <v>19.53</v>
      </c>
      <c r="E116" s="8">
        <v>351.6</v>
      </c>
    </row>
    <row r="117" spans="1:5">
      <c r="A117" s="204" t="s">
        <v>7</v>
      </c>
      <c r="B117" s="6"/>
      <c r="C117" s="6"/>
      <c r="D117" s="207">
        <v>19.53</v>
      </c>
      <c r="E117" s="206">
        <v>351.6</v>
      </c>
    </row>
    <row r="118" spans="1:5">
      <c r="A118" s="6"/>
      <c r="B118" s="6"/>
      <c r="C118" s="6"/>
      <c r="D118" s="7"/>
      <c r="E118" s="8"/>
    </row>
    <row r="119" spans="1:5">
      <c r="A119" s="6" t="s">
        <v>133</v>
      </c>
      <c r="B119" s="6" t="s">
        <v>185</v>
      </c>
      <c r="C119" s="6" t="s">
        <v>134</v>
      </c>
      <c r="D119" s="7">
        <v>24.48</v>
      </c>
      <c r="E119" s="8">
        <v>514.15</v>
      </c>
    </row>
    <row r="120" spans="1:5">
      <c r="A120" s="204" t="s">
        <v>7</v>
      </c>
      <c r="B120" s="6"/>
      <c r="C120" s="6"/>
      <c r="D120" s="207">
        <f>SUM(D119)</f>
        <v>24.48</v>
      </c>
      <c r="E120" s="206">
        <f>SUM(E119)</f>
        <v>514.15</v>
      </c>
    </row>
    <row r="121" spans="1:5">
      <c r="A121" s="6"/>
      <c r="B121" s="6"/>
      <c r="C121" s="6"/>
      <c r="D121" s="7"/>
      <c r="E121" s="8"/>
    </row>
    <row r="122" spans="1:5">
      <c r="A122" s="2" t="s">
        <v>123</v>
      </c>
      <c r="B122" s="6">
        <v>450045</v>
      </c>
      <c r="C122" s="2" t="s">
        <v>131</v>
      </c>
      <c r="D122" s="7">
        <f>65.2+4.38</f>
        <v>69.58</v>
      </c>
      <c r="E122" s="8">
        <f>1100.25+73.97</f>
        <v>1174.22</v>
      </c>
    </row>
    <row r="123" spans="1:5">
      <c r="A123" s="6" t="s">
        <v>132</v>
      </c>
      <c r="B123" s="6" t="s">
        <v>186</v>
      </c>
      <c r="C123" s="6" t="s">
        <v>131</v>
      </c>
      <c r="D123" s="7">
        <v>29.35</v>
      </c>
      <c r="E123" s="8">
        <v>519.5</v>
      </c>
    </row>
    <row r="124" spans="1:5">
      <c r="A124" s="6" t="s">
        <v>106</v>
      </c>
      <c r="B124" s="6" t="s">
        <v>186</v>
      </c>
      <c r="C124" s="6" t="s">
        <v>131</v>
      </c>
      <c r="D124" s="7">
        <f>28.53+15.37</f>
        <v>43.9</v>
      </c>
      <c r="E124" s="8">
        <f>470.8+253.55</f>
        <v>724.35</v>
      </c>
    </row>
    <row r="125" spans="1:5">
      <c r="A125" s="204" t="s">
        <v>7</v>
      </c>
      <c r="B125" s="6"/>
      <c r="C125" s="6"/>
      <c r="D125" s="207">
        <f>SUM(D122:D124)</f>
        <v>142.83000000000001</v>
      </c>
      <c r="E125" s="206">
        <f>SUM(E122:E124)</f>
        <v>2418.0700000000002</v>
      </c>
    </row>
    <row r="126" spans="1:5">
      <c r="A126" s="6"/>
      <c r="B126" s="6"/>
      <c r="C126" s="6"/>
      <c r="D126" s="7"/>
      <c r="E126" s="8"/>
    </row>
    <row r="127" spans="1:5">
      <c r="A127" s="6" t="s">
        <v>130</v>
      </c>
      <c r="B127" s="6" t="s">
        <v>188</v>
      </c>
      <c r="C127" s="6" t="s">
        <v>129</v>
      </c>
      <c r="D127" s="7">
        <v>21.18</v>
      </c>
      <c r="E127" s="8">
        <v>349.53</v>
      </c>
    </row>
    <row r="128" spans="1:5">
      <c r="A128" s="6" t="s">
        <v>121</v>
      </c>
      <c r="B128" s="6" t="s">
        <v>188</v>
      </c>
      <c r="C128" s="6" t="s">
        <v>129</v>
      </c>
      <c r="D128" s="7">
        <v>9.68</v>
      </c>
      <c r="E128" s="8">
        <v>227.03</v>
      </c>
    </row>
    <row r="129" spans="1:5">
      <c r="A129" s="204" t="s">
        <v>7</v>
      </c>
      <c r="B129" s="6"/>
      <c r="C129" s="6"/>
      <c r="D129" s="207">
        <f>SUM(D127:D128)</f>
        <v>30.86</v>
      </c>
      <c r="E129" s="206">
        <f>SUM(E127:E128)</f>
        <v>576.55999999999995</v>
      </c>
    </row>
    <row r="130" spans="1:5">
      <c r="A130" s="6"/>
      <c r="B130" s="6"/>
      <c r="C130" s="6"/>
      <c r="D130" s="7"/>
      <c r="E130" s="8"/>
    </row>
    <row r="131" spans="1:5">
      <c r="A131" s="6" t="s">
        <v>108</v>
      </c>
      <c r="B131" s="6" t="s">
        <v>189</v>
      </c>
      <c r="C131" s="6" t="s">
        <v>104</v>
      </c>
      <c r="D131" s="7">
        <v>16.23</v>
      </c>
      <c r="E131" s="8">
        <v>250.07</v>
      </c>
    </row>
    <row r="132" spans="1:5">
      <c r="A132" s="6" t="s">
        <v>190</v>
      </c>
      <c r="B132" s="6" t="s">
        <v>189</v>
      </c>
      <c r="C132" s="6" t="s">
        <v>104</v>
      </c>
      <c r="D132" s="7">
        <v>23.4</v>
      </c>
      <c r="E132" s="8">
        <v>315.89999999999998</v>
      </c>
    </row>
    <row r="133" spans="1:5">
      <c r="A133" s="6" t="s">
        <v>109</v>
      </c>
      <c r="B133" s="6" t="s">
        <v>189</v>
      </c>
      <c r="C133" s="6" t="s">
        <v>104</v>
      </c>
      <c r="D133" s="7">
        <v>19.07</v>
      </c>
      <c r="E133" s="8">
        <v>271.7</v>
      </c>
    </row>
    <row r="134" spans="1:5">
      <c r="A134" s="6" t="s">
        <v>115</v>
      </c>
      <c r="B134" s="6" t="s">
        <v>189</v>
      </c>
      <c r="C134" s="6" t="s">
        <v>104</v>
      </c>
      <c r="D134" s="7">
        <v>8.15</v>
      </c>
      <c r="E134" s="8">
        <v>131.79</v>
      </c>
    </row>
    <row r="135" spans="1:5">
      <c r="A135" s="6" t="s">
        <v>119</v>
      </c>
      <c r="B135" s="6" t="s">
        <v>189</v>
      </c>
      <c r="C135" s="6" t="s">
        <v>104</v>
      </c>
      <c r="D135" s="7">
        <v>13.93</v>
      </c>
      <c r="E135" s="8">
        <v>227.6</v>
      </c>
    </row>
    <row r="136" spans="1:5">
      <c r="A136" s="6" t="s">
        <v>103</v>
      </c>
      <c r="B136" s="6" t="s">
        <v>189</v>
      </c>
      <c r="C136" s="6" t="s">
        <v>104</v>
      </c>
      <c r="D136" s="7">
        <v>24.13</v>
      </c>
      <c r="E136" s="8">
        <v>338.83</v>
      </c>
    </row>
    <row r="137" spans="1:5">
      <c r="A137" s="6" t="s">
        <v>117</v>
      </c>
      <c r="B137" s="6" t="s">
        <v>189</v>
      </c>
      <c r="C137" s="6" t="s">
        <v>104</v>
      </c>
      <c r="D137" s="7">
        <v>18.03</v>
      </c>
      <c r="E137" s="8">
        <v>287.27</v>
      </c>
    </row>
    <row r="138" spans="1:5">
      <c r="A138" s="6" t="s">
        <v>122</v>
      </c>
      <c r="B138" s="6" t="s">
        <v>189</v>
      </c>
      <c r="C138" s="6" t="s">
        <v>104</v>
      </c>
      <c r="D138" s="7">
        <v>12.37</v>
      </c>
      <c r="E138" s="8">
        <v>169.92</v>
      </c>
    </row>
    <row r="139" spans="1:5">
      <c r="A139" s="6" t="s">
        <v>113</v>
      </c>
      <c r="B139" s="6" t="s">
        <v>189</v>
      </c>
      <c r="C139" s="6" t="s">
        <v>104</v>
      </c>
      <c r="D139" s="7">
        <v>8.17</v>
      </c>
      <c r="E139" s="8">
        <v>110.25</v>
      </c>
    </row>
    <row r="140" spans="1:5">
      <c r="A140" s="6" t="s">
        <v>111</v>
      </c>
      <c r="B140" s="6" t="s">
        <v>189</v>
      </c>
      <c r="C140" s="6" t="s">
        <v>104</v>
      </c>
      <c r="D140" s="7">
        <v>15.95</v>
      </c>
      <c r="E140" s="8">
        <v>239.25</v>
      </c>
    </row>
    <row r="141" spans="1:5">
      <c r="A141" s="6" t="s">
        <v>120</v>
      </c>
      <c r="B141" s="6" t="s">
        <v>189</v>
      </c>
      <c r="C141" s="6" t="s">
        <v>104</v>
      </c>
      <c r="D141" s="7">
        <v>8.17</v>
      </c>
      <c r="E141" s="8">
        <v>141.37</v>
      </c>
    </row>
    <row r="142" spans="1:5">
      <c r="A142" s="6" t="s">
        <v>110</v>
      </c>
      <c r="B142" s="6">
        <v>450051</v>
      </c>
      <c r="C142" s="6" t="s">
        <v>104</v>
      </c>
      <c r="D142" s="7">
        <v>16.18</v>
      </c>
      <c r="E142" s="8">
        <v>267.75</v>
      </c>
    </row>
    <row r="143" spans="1:5">
      <c r="A143" s="6" t="s">
        <v>191</v>
      </c>
      <c r="B143" s="6" t="s">
        <v>189</v>
      </c>
      <c r="C143" s="6" t="s">
        <v>104</v>
      </c>
      <c r="D143" s="7">
        <v>16.22</v>
      </c>
      <c r="E143" s="8">
        <v>249.33</v>
      </c>
    </row>
    <row r="144" spans="1:5">
      <c r="A144" s="6" t="s">
        <v>112</v>
      </c>
      <c r="B144" s="6" t="s">
        <v>189</v>
      </c>
      <c r="C144" s="6" t="s">
        <v>104</v>
      </c>
      <c r="D144" s="7">
        <f>20.67+1.08+2.82</f>
        <v>24.57</v>
      </c>
      <c r="E144" s="8">
        <f>341+17.88+46.48</f>
        <v>405.36</v>
      </c>
    </row>
    <row r="145" spans="1:5">
      <c r="A145" s="6" t="s">
        <v>116</v>
      </c>
      <c r="B145" s="6" t="s">
        <v>189</v>
      </c>
      <c r="C145" s="6" t="s">
        <v>104</v>
      </c>
      <c r="D145" s="7">
        <v>13.22</v>
      </c>
      <c r="E145" s="8">
        <v>198.25</v>
      </c>
    </row>
    <row r="146" spans="1:5">
      <c r="A146" s="6" t="s">
        <v>118</v>
      </c>
      <c r="B146" s="6" t="s">
        <v>189</v>
      </c>
      <c r="C146" s="6" t="s">
        <v>104</v>
      </c>
      <c r="D146" s="7">
        <v>23.45</v>
      </c>
      <c r="E146" s="8">
        <v>527.63</v>
      </c>
    </row>
    <row r="147" spans="1:5">
      <c r="A147" s="6" t="s">
        <v>124</v>
      </c>
      <c r="B147" s="6" t="s">
        <v>189</v>
      </c>
      <c r="C147" s="6" t="s">
        <v>104</v>
      </c>
      <c r="D147" s="7">
        <v>43.9</v>
      </c>
      <c r="E147" s="8">
        <v>987.75</v>
      </c>
    </row>
    <row r="148" spans="1:5">
      <c r="A148" s="6" t="s">
        <v>227</v>
      </c>
      <c r="B148" s="6">
        <v>450051</v>
      </c>
      <c r="C148" s="6" t="s">
        <v>104</v>
      </c>
      <c r="D148" s="7">
        <v>6.45</v>
      </c>
      <c r="E148" s="8">
        <v>91.91</v>
      </c>
    </row>
    <row r="149" spans="1:5">
      <c r="A149" s="6" t="s">
        <v>105</v>
      </c>
      <c r="B149" s="6">
        <v>450051</v>
      </c>
      <c r="C149" s="6" t="s">
        <v>104</v>
      </c>
      <c r="D149" s="7">
        <v>9.1199999999999992</v>
      </c>
      <c r="E149" s="8">
        <v>148.51</v>
      </c>
    </row>
    <row r="150" spans="1:5">
      <c r="A150" s="204" t="s">
        <v>7</v>
      </c>
      <c r="B150" s="6"/>
      <c r="C150" s="6"/>
      <c r="D150" s="207">
        <f>SUM(D131:D149)</f>
        <v>320.70999999999992</v>
      </c>
      <c r="E150" s="206">
        <f>SUM(E131:E149)</f>
        <v>5360.44</v>
      </c>
    </row>
    <row r="151" spans="1:5">
      <c r="A151" s="204"/>
      <c r="B151" s="6"/>
      <c r="C151" s="6"/>
      <c r="D151" s="207"/>
      <c r="E151" s="206"/>
    </row>
    <row r="152" spans="1:5">
      <c r="A152" s="6" t="s">
        <v>41</v>
      </c>
      <c r="B152" s="6" t="s">
        <v>192</v>
      </c>
      <c r="C152" s="6" t="s">
        <v>193</v>
      </c>
      <c r="D152" s="7">
        <v>4.47</v>
      </c>
      <c r="E152" s="8">
        <v>105.53</v>
      </c>
    </row>
    <row r="153" spans="1:5">
      <c r="A153" s="204" t="s">
        <v>7</v>
      </c>
      <c r="B153" s="6"/>
      <c r="C153" s="6"/>
      <c r="D153" s="207">
        <f>SUM(D152)</f>
        <v>4.47</v>
      </c>
      <c r="E153" s="206">
        <f>SUM(E152)</f>
        <v>105.53</v>
      </c>
    </row>
    <row r="154" spans="1:5">
      <c r="A154" s="6"/>
      <c r="B154" s="6"/>
      <c r="C154" s="6"/>
      <c r="D154" s="7"/>
      <c r="E154" s="8"/>
    </row>
    <row r="155" spans="1:5">
      <c r="D155" s="4"/>
      <c r="E155" s="5"/>
    </row>
    <row r="156" spans="1:5">
      <c r="A156" s="1" t="s">
        <v>194</v>
      </c>
      <c r="D156" s="207">
        <f>D153+D150+D129+D125+D120+D117+D114+D111+D107+D104+D98+D95+D92+D89+D83+D80+D76+D70+D67+D61+D58+D53+D48+D27+D22+D18+D14+D10+D7</f>
        <v>1096.3899999999996</v>
      </c>
      <c r="E156" s="206">
        <f>E153+E150+E129+E125+E120+E117+E114+E111+E107+E104+E98+E95+E92+E89+E83+E80+E76+E70+E67+E61+E58+E53+E48+E27+E22+E18+E14+E10+E7</f>
        <v>21602.539999999997</v>
      </c>
    </row>
  </sheetData>
  <pageMargins left="0.75" right="0.75" top="1" bottom="1" header="0.5" footer="0.5"/>
  <pageSetup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K79"/>
  <sheetViews>
    <sheetView workbookViewId="0">
      <selection activeCell="E9" sqref="E9"/>
    </sheetView>
  </sheetViews>
  <sheetFormatPr defaultRowHeight="12.75"/>
  <cols>
    <col min="1" max="1" width="19.42578125" bestFit="1" customWidth="1"/>
    <col min="2" max="2" width="23.140625" bestFit="1" customWidth="1"/>
    <col min="3" max="3" width="33.85546875" bestFit="1" customWidth="1"/>
    <col min="4" max="4" width="20.42578125" bestFit="1" customWidth="1"/>
    <col min="5" max="5" width="23.28515625" bestFit="1" customWidth="1"/>
    <col min="7" max="7" width="13.5703125" customWidth="1"/>
    <col min="8" max="8" width="17.85546875" customWidth="1"/>
    <col min="9" max="9" width="12.42578125" customWidth="1"/>
    <col min="10" max="10" width="11.140625" bestFit="1" customWidth="1"/>
    <col min="11" max="11" width="5.5703125" bestFit="1" customWidth="1"/>
  </cols>
  <sheetData>
    <row r="1" spans="1:11">
      <c r="A1" s="122" t="s">
        <v>147</v>
      </c>
      <c r="B1" s="122" t="s">
        <v>148</v>
      </c>
      <c r="C1" s="122" t="s">
        <v>149</v>
      </c>
      <c r="D1" s="122" t="s">
        <v>150</v>
      </c>
      <c r="E1" s="122" t="s">
        <v>151</v>
      </c>
      <c r="G1" s="38" t="s">
        <v>259</v>
      </c>
      <c r="H1" s="58" t="s">
        <v>334</v>
      </c>
      <c r="I1" s="40" t="s">
        <v>260</v>
      </c>
      <c r="J1" s="119" t="s">
        <v>262</v>
      </c>
      <c r="K1" s="39" t="s">
        <v>261</v>
      </c>
    </row>
    <row r="2" spans="1:11">
      <c r="A2" s="124" t="s">
        <v>506</v>
      </c>
      <c r="B2" s="125" t="s">
        <v>152</v>
      </c>
      <c r="C2" s="124" t="s">
        <v>15</v>
      </c>
      <c r="D2" s="126">
        <v>1.53</v>
      </c>
      <c r="E2" s="200">
        <v>50.6</v>
      </c>
      <c r="G2" s="13">
        <f>E34+E36+E42+E69+E73</f>
        <v>1764.42</v>
      </c>
      <c r="H2" s="59">
        <v>0</v>
      </c>
      <c r="I2" s="66">
        <f>E13</f>
        <v>196.3</v>
      </c>
      <c r="J2" s="166">
        <v>0</v>
      </c>
      <c r="K2" s="16">
        <v>0</v>
      </c>
    </row>
    <row r="3" spans="1:11">
      <c r="A3" s="124" t="s">
        <v>389</v>
      </c>
      <c r="B3" s="125" t="s">
        <v>152</v>
      </c>
      <c r="C3" s="124" t="s">
        <v>15</v>
      </c>
      <c r="D3" s="126">
        <v>1.33</v>
      </c>
      <c r="E3" s="200">
        <v>42.12</v>
      </c>
      <c r="G3" s="18"/>
      <c r="H3" t="s">
        <v>263</v>
      </c>
      <c r="I3" s="18"/>
      <c r="J3" s="18"/>
      <c r="K3" s="18"/>
    </row>
    <row r="4" spans="1:11">
      <c r="A4" s="124" t="s">
        <v>18</v>
      </c>
      <c r="B4" s="125" t="s">
        <v>152</v>
      </c>
      <c r="C4" s="124" t="s">
        <v>15</v>
      </c>
      <c r="D4" s="126">
        <v>0.57999999999999996</v>
      </c>
      <c r="E4" s="200">
        <v>16.559999999999999</v>
      </c>
      <c r="G4" s="11"/>
      <c r="H4" s="11"/>
      <c r="I4" s="11"/>
      <c r="J4" s="11"/>
      <c r="K4" s="11"/>
    </row>
    <row r="5" spans="1:11">
      <c r="A5" s="124" t="s">
        <v>496</v>
      </c>
      <c r="B5" s="125" t="s">
        <v>152</v>
      </c>
      <c r="C5" s="124" t="s">
        <v>15</v>
      </c>
      <c r="D5" s="126">
        <v>1.18</v>
      </c>
      <c r="E5" s="200">
        <v>37.28</v>
      </c>
      <c r="H5" t="s">
        <v>461</v>
      </c>
    </row>
    <row r="6" spans="1:11" ht="15">
      <c r="A6" s="124" t="s">
        <v>377</v>
      </c>
      <c r="B6" s="125" t="s">
        <v>152</v>
      </c>
      <c r="C6" s="124" t="s">
        <v>15</v>
      </c>
      <c r="D6" s="126">
        <v>0.98</v>
      </c>
      <c r="E6" s="200">
        <v>32.89</v>
      </c>
      <c r="H6" s="157" t="s">
        <v>454</v>
      </c>
    </row>
    <row r="7" spans="1:11" ht="15">
      <c r="A7" s="124" t="s">
        <v>469</v>
      </c>
      <c r="B7" s="125" t="s">
        <v>152</v>
      </c>
      <c r="C7" s="124" t="s">
        <v>15</v>
      </c>
      <c r="D7" s="126">
        <v>0.32</v>
      </c>
      <c r="E7" s="200">
        <v>8.7899999999999991</v>
      </c>
      <c r="H7" s="158" t="s">
        <v>455</v>
      </c>
    </row>
    <row r="8" spans="1:11">
      <c r="A8" s="124" t="s">
        <v>426</v>
      </c>
      <c r="B8" s="125">
        <v>290020</v>
      </c>
      <c r="C8" s="124" t="s">
        <v>373</v>
      </c>
      <c r="D8" s="126">
        <v>0.56999999999999995</v>
      </c>
      <c r="E8" s="200">
        <v>18.940000000000001</v>
      </c>
    </row>
    <row r="9" spans="1:11">
      <c r="A9" s="127" t="s">
        <v>7</v>
      </c>
      <c r="B9" s="124"/>
      <c r="C9" s="124"/>
      <c r="D9" s="131">
        <f>SUM(D2:D8)</f>
        <v>6.49</v>
      </c>
      <c r="E9" s="129">
        <f>SUM(E2:E8)</f>
        <v>207.17999999999998</v>
      </c>
    </row>
    <row r="10" spans="1:11">
      <c r="A10" s="127"/>
      <c r="B10" s="124"/>
      <c r="C10" s="124"/>
      <c r="D10" s="131"/>
      <c r="E10" s="129"/>
    </row>
    <row r="11" spans="1:11">
      <c r="A11" s="124" t="s">
        <v>307</v>
      </c>
      <c r="B11" s="124">
        <v>100035</v>
      </c>
      <c r="C11" s="124" t="s">
        <v>332</v>
      </c>
      <c r="D11" s="126">
        <v>0.92</v>
      </c>
      <c r="E11" s="200">
        <v>36.56</v>
      </c>
    </row>
    <row r="12" spans="1:11">
      <c r="A12" s="124" t="s">
        <v>488</v>
      </c>
      <c r="B12" s="125" t="s">
        <v>154</v>
      </c>
      <c r="C12" s="124" t="s">
        <v>23</v>
      </c>
      <c r="D12" s="126">
        <v>0.12</v>
      </c>
      <c r="E12" s="200">
        <v>4.38</v>
      </c>
    </row>
    <row r="13" spans="1:11">
      <c r="A13" s="144" t="s">
        <v>494</v>
      </c>
      <c r="B13" s="145" t="s">
        <v>154</v>
      </c>
      <c r="C13" s="144" t="s">
        <v>23</v>
      </c>
      <c r="D13" s="146">
        <v>5.03</v>
      </c>
      <c r="E13" s="201">
        <v>196.3</v>
      </c>
      <c r="F13" t="s">
        <v>508</v>
      </c>
    </row>
    <row r="14" spans="1:11">
      <c r="A14" s="124" t="s">
        <v>520</v>
      </c>
      <c r="B14" s="125">
        <v>200035</v>
      </c>
      <c r="C14" s="124" t="s">
        <v>521</v>
      </c>
      <c r="D14" s="126">
        <v>0.05</v>
      </c>
      <c r="E14" s="200">
        <v>1.68</v>
      </c>
    </row>
    <row r="15" spans="1:11">
      <c r="A15" s="127" t="s">
        <v>7</v>
      </c>
      <c r="B15" s="124"/>
      <c r="C15" s="124"/>
      <c r="D15" s="131">
        <f>SUM(D11:D14)</f>
        <v>6.12</v>
      </c>
      <c r="E15" s="129">
        <f>SUM(E11:E14)</f>
        <v>238.92000000000002</v>
      </c>
    </row>
    <row r="16" spans="1:11">
      <c r="A16" s="127"/>
      <c r="B16" s="125"/>
      <c r="C16" s="124"/>
      <c r="D16" s="131"/>
      <c r="E16" s="129"/>
    </row>
    <row r="17" spans="1:5">
      <c r="A17" s="124" t="s">
        <v>415</v>
      </c>
      <c r="B17" s="125" t="s">
        <v>155</v>
      </c>
      <c r="C17" s="124" t="s">
        <v>196</v>
      </c>
      <c r="D17" s="126">
        <v>7.0000000000000007E-2</v>
      </c>
      <c r="E17" s="200">
        <v>2.21</v>
      </c>
    </row>
    <row r="18" spans="1:5">
      <c r="A18" s="127" t="s">
        <v>7</v>
      </c>
      <c r="B18" s="125"/>
      <c r="C18" s="124"/>
      <c r="D18" s="131">
        <f>SUM(D17:D17)</f>
        <v>7.0000000000000007E-2</v>
      </c>
      <c r="E18" s="129">
        <f>SUM(E17:E17)</f>
        <v>2.21</v>
      </c>
    </row>
    <row r="19" spans="1:5">
      <c r="A19" s="127"/>
      <c r="B19" s="125"/>
      <c r="C19" s="124"/>
      <c r="D19" s="131"/>
      <c r="E19" s="129"/>
    </row>
    <row r="20" spans="1:5">
      <c r="A20" s="124" t="s">
        <v>14</v>
      </c>
      <c r="B20" s="125" t="s">
        <v>156</v>
      </c>
      <c r="C20" s="124" t="s">
        <v>91</v>
      </c>
      <c r="D20" s="126">
        <v>0.15</v>
      </c>
      <c r="E20" s="200">
        <v>4.97</v>
      </c>
    </row>
    <row r="21" spans="1:5">
      <c r="A21" s="124" t="s">
        <v>335</v>
      </c>
      <c r="B21" s="125" t="s">
        <v>156</v>
      </c>
      <c r="C21" s="124" t="s">
        <v>91</v>
      </c>
      <c r="D21" s="126">
        <v>1.73</v>
      </c>
      <c r="E21" s="200">
        <v>54.08</v>
      </c>
    </row>
    <row r="22" spans="1:5">
      <c r="A22" s="127" t="s">
        <v>7</v>
      </c>
      <c r="B22" s="124"/>
      <c r="C22" s="124"/>
      <c r="D22" s="131">
        <f>SUM(D20:D21)</f>
        <v>1.88</v>
      </c>
      <c r="E22" s="129">
        <f>SUM(E20:E21)</f>
        <v>59.05</v>
      </c>
    </row>
    <row r="23" spans="1:5">
      <c r="A23" s="124"/>
      <c r="B23" s="124"/>
      <c r="C23" s="124"/>
      <c r="D23" s="126"/>
      <c r="E23" s="200"/>
    </row>
    <row r="24" spans="1:5">
      <c r="A24" s="124" t="s">
        <v>391</v>
      </c>
      <c r="B24" s="125" t="s">
        <v>157</v>
      </c>
      <c r="C24" s="124" t="s">
        <v>66</v>
      </c>
      <c r="D24" s="126">
        <v>0.87</v>
      </c>
      <c r="E24" s="200">
        <v>23.4</v>
      </c>
    </row>
    <row r="25" spans="1:5">
      <c r="A25" s="124" t="s">
        <v>492</v>
      </c>
      <c r="B25" s="125" t="s">
        <v>157</v>
      </c>
      <c r="C25" s="124" t="s">
        <v>66</v>
      </c>
      <c r="D25" s="126">
        <v>2.63</v>
      </c>
      <c r="E25" s="200">
        <v>63.2</v>
      </c>
    </row>
    <row r="26" spans="1:5">
      <c r="A26" s="124" t="s">
        <v>228</v>
      </c>
      <c r="B26" s="125" t="s">
        <v>157</v>
      </c>
      <c r="C26" s="124" t="s">
        <v>66</v>
      </c>
      <c r="D26" s="126">
        <v>2.02</v>
      </c>
      <c r="E26" s="200">
        <v>51.91</v>
      </c>
    </row>
    <row r="27" spans="1:5">
      <c r="A27" s="124" t="s">
        <v>509</v>
      </c>
      <c r="B27" s="125" t="s">
        <v>157</v>
      </c>
      <c r="C27" s="124" t="s">
        <v>66</v>
      </c>
      <c r="D27" s="126">
        <v>0.48</v>
      </c>
      <c r="E27" s="200">
        <v>11.6</v>
      </c>
    </row>
    <row r="28" spans="1:5">
      <c r="A28" s="124" t="s">
        <v>75</v>
      </c>
      <c r="B28" s="125" t="s">
        <v>157</v>
      </c>
      <c r="C28" s="124" t="s">
        <v>66</v>
      </c>
      <c r="D28" s="126">
        <v>0.87</v>
      </c>
      <c r="E28" s="200">
        <v>24.05</v>
      </c>
    </row>
    <row r="29" spans="1:5">
      <c r="A29" s="124" t="s">
        <v>472</v>
      </c>
      <c r="B29" s="125" t="s">
        <v>157</v>
      </c>
      <c r="C29" s="124" t="s">
        <v>66</v>
      </c>
      <c r="D29" s="126">
        <v>2.5</v>
      </c>
      <c r="E29" s="200">
        <v>60</v>
      </c>
    </row>
    <row r="30" spans="1:5">
      <c r="A30" s="124" t="s">
        <v>267</v>
      </c>
      <c r="B30" s="125" t="s">
        <v>157</v>
      </c>
      <c r="C30" s="124" t="s">
        <v>66</v>
      </c>
      <c r="D30" s="126">
        <v>1.8</v>
      </c>
      <c r="E30" s="200">
        <v>46.33</v>
      </c>
    </row>
    <row r="31" spans="1:5">
      <c r="A31" s="124" t="s">
        <v>464</v>
      </c>
      <c r="B31" s="125" t="s">
        <v>157</v>
      </c>
      <c r="C31" s="124" t="s">
        <v>66</v>
      </c>
      <c r="D31" s="126">
        <v>0.17</v>
      </c>
      <c r="E31" s="200">
        <v>4</v>
      </c>
    </row>
    <row r="32" spans="1:5">
      <c r="A32" s="124" t="s">
        <v>429</v>
      </c>
      <c r="B32" s="125" t="s">
        <v>157</v>
      </c>
      <c r="C32" s="124" t="s">
        <v>66</v>
      </c>
      <c r="D32" s="126">
        <v>1.2</v>
      </c>
      <c r="E32" s="200">
        <v>31.5</v>
      </c>
    </row>
    <row r="33" spans="1:6">
      <c r="A33" s="124" t="s">
        <v>510</v>
      </c>
      <c r="B33" s="125" t="s">
        <v>157</v>
      </c>
      <c r="C33" s="124" t="s">
        <v>66</v>
      </c>
      <c r="D33" s="126">
        <v>2.37</v>
      </c>
      <c r="E33" s="200">
        <v>58.58</v>
      </c>
    </row>
    <row r="34" spans="1:6">
      <c r="A34" s="148" t="s">
        <v>328</v>
      </c>
      <c r="B34" s="149" t="s">
        <v>157</v>
      </c>
      <c r="C34" s="148" t="s">
        <v>66</v>
      </c>
      <c r="D34" s="150">
        <v>19.23</v>
      </c>
      <c r="E34" s="202">
        <v>525.07000000000005</v>
      </c>
      <c r="F34" t="s">
        <v>508</v>
      </c>
    </row>
    <row r="35" spans="1:6">
      <c r="A35" s="123" t="s">
        <v>79</v>
      </c>
      <c r="B35" s="132" t="s">
        <v>157</v>
      </c>
      <c r="C35" s="123" t="s">
        <v>66</v>
      </c>
      <c r="D35" s="123">
        <v>3.7</v>
      </c>
      <c r="E35" s="200">
        <v>92.35</v>
      </c>
    </row>
    <row r="36" spans="1:6">
      <c r="A36" s="148" t="s">
        <v>483</v>
      </c>
      <c r="B36" s="149" t="s">
        <v>157</v>
      </c>
      <c r="C36" s="148" t="s">
        <v>66</v>
      </c>
      <c r="D36" s="148">
        <v>4.5</v>
      </c>
      <c r="E36" s="202">
        <v>108</v>
      </c>
      <c r="F36" s="123" t="s">
        <v>508</v>
      </c>
    </row>
    <row r="37" spans="1:6">
      <c r="A37" s="123" t="s">
        <v>375</v>
      </c>
      <c r="B37" s="132" t="s">
        <v>157</v>
      </c>
      <c r="C37" s="123" t="s">
        <v>66</v>
      </c>
      <c r="D37" s="123">
        <v>2.56</v>
      </c>
      <c r="E37" s="200">
        <v>67.290000000000006</v>
      </c>
    </row>
    <row r="38" spans="1:6">
      <c r="A38" s="123" t="s">
        <v>516</v>
      </c>
      <c r="B38" s="132" t="s">
        <v>157</v>
      </c>
      <c r="C38" s="123" t="s">
        <v>66</v>
      </c>
      <c r="D38" s="123">
        <v>2.97</v>
      </c>
      <c r="E38" s="200">
        <v>68.98</v>
      </c>
    </row>
    <row r="39" spans="1:6">
      <c r="A39" s="123" t="s">
        <v>412</v>
      </c>
      <c r="B39" s="132" t="s">
        <v>157</v>
      </c>
      <c r="C39" s="123" t="s">
        <v>66</v>
      </c>
      <c r="D39" s="123">
        <v>0.5</v>
      </c>
      <c r="E39" s="200">
        <v>12</v>
      </c>
    </row>
    <row r="40" spans="1:6">
      <c r="A40" s="127" t="s">
        <v>7</v>
      </c>
      <c r="B40" s="124"/>
      <c r="C40" s="124"/>
      <c r="D40" s="131">
        <f>SUM(D24:D39)</f>
        <v>48.370000000000005</v>
      </c>
      <c r="E40" s="129">
        <f>SUM(E24:E39)</f>
        <v>1248.2600000000002</v>
      </c>
    </row>
    <row r="41" spans="1:6">
      <c r="A41" s="127"/>
      <c r="B41" s="124"/>
      <c r="C41" s="124"/>
      <c r="D41" s="131"/>
      <c r="E41" s="129"/>
    </row>
    <row r="42" spans="1:6">
      <c r="A42" s="140" t="s">
        <v>163</v>
      </c>
      <c r="B42" s="141" t="s">
        <v>162</v>
      </c>
      <c r="C42" s="140" t="s">
        <v>51</v>
      </c>
      <c r="D42" s="142">
        <v>23.28</v>
      </c>
      <c r="E42" s="202">
        <v>768.35</v>
      </c>
      <c r="F42" t="s">
        <v>508</v>
      </c>
    </row>
    <row r="43" spans="1:6">
      <c r="A43" s="127" t="s">
        <v>7</v>
      </c>
      <c r="B43" s="125"/>
      <c r="C43" s="124"/>
      <c r="D43" s="131">
        <f>SUM(D42:D42)</f>
        <v>23.28</v>
      </c>
      <c r="E43" s="129">
        <f>SUM(E42:E42)</f>
        <v>768.35</v>
      </c>
    </row>
    <row r="44" spans="1:6">
      <c r="A44" s="127"/>
      <c r="B44" s="124"/>
      <c r="C44" s="124"/>
      <c r="D44" s="131"/>
      <c r="E44" s="129"/>
    </row>
    <row r="45" spans="1:6">
      <c r="A45" s="124" t="s">
        <v>203</v>
      </c>
      <c r="B45" s="125" t="s">
        <v>164</v>
      </c>
      <c r="C45" s="124" t="s">
        <v>60</v>
      </c>
      <c r="D45" s="126">
        <v>0.18</v>
      </c>
      <c r="E45" s="200">
        <v>4.13</v>
      </c>
    </row>
    <row r="46" spans="1:6">
      <c r="A46" s="124" t="s">
        <v>64</v>
      </c>
      <c r="B46" s="125" t="s">
        <v>164</v>
      </c>
      <c r="C46" s="124" t="s">
        <v>60</v>
      </c>
      <c r="D46" s="126">
        <v>1.22</v>
      </c>
      <c r="E46" s="200">
        <v>27.38</v>
      </c>
    </row>
    <row r="47" spans="1:6">
      <c r="A47" s="127" t="s">
        <v>7</v>
      </c>
      <c r="B47" s="124"/>
      <c r="C47" s="124"/>
      <c r="D47" s="131">
        <f>SUM(D45:D46)</f>
        <v>1.4</v>
      </c>
      <c r="E47" s="129">
        <f>SUM(E45:E46)</f>
        <v>31.509999999999998</v>
      </c>
    </row>
    <row r="48" spans="1:6">
      <c r="A48" s="127"/>
      <c r="B48" s="124"/>
      <c r="C48" s="124"/>
      <c r="D48" s="131"/>
      <c r="E48" s="129"/>
    </row>
    <row r="49" spans="1:5">
      <c r="A49" s="124" t="s">
        <v>474</v>
      </c>
      <c r="B49" s="125" t="s">
        <v>165</v>
      </c>
      <c r="C49" s="124" t="s">
        <v>45</v>
      </c>
      <c r="D49" s="126">
        <v>2.0699999999999998</v>
      </c>
      <c r="E49" s="200">
        <v>51.15</v>
      </c>
    </row>
    <row r="50" spans="1:5">
      <c r="A50" s="127" t="s">
        <v>7</v>
      </c>
      <c r="B50" s="124"/>
      <c r="C50" s="124"/>
      <c r="D50" s="131">
        <f>SUM(D49)</f>
        <v>2.0699999999999998</v>
      </c>
      <c r="E50" s="129">
        <f>SUM(E49)</f>
        <v>51.15</v>
      </c>
    </row>
    <row r="51" spans="1:5">
      <c r="A51" s="127"/>
      <c r="B51" s="124"/>
      <c r="C51" s="124"/>
      <c r="D51" s="131"/>
      <c r="E51" s="129"/>
    </row>
    <row r="52" spans="1:5">
      <c r="A52" s="124" t="s">
        <v>421</v>
      </c>
      <c r="B52" s="125" t="s">
        <v>167</v>
      </c>
      <c r="C52" s="124" t="s">
        <v>54</v>
      </c>
      <c r="D52" s="126">
        <v>1.98</v>
      </c>
      <c r="E52" s="200">
        <v>54.62</v>
      </c>
    </row>
    <row r="53" spans="1:5">
      <c r="A53" s="124" t="s">
        <v>292</v>
      </c>
      <c r="B53" s="125" t="s">
        <v>167</v>
      </c>
      <c r="C53" s="124" t="s">
        <v>54</v>
      </c>
      <c r="D53" s="126">
        <v>0.27</v>
      </c>
      <c r="E53" s="200">
        <v>7</v>
      </c>
    </row>
    <row r="54" spans="1:5">
      <c r="A54" s="124" t="s">
        <v>517</v>
      </c>
      <c r="B54" s="125" t="s">
        <v>167</v>
      </c>
      <c r="C54" s="124" t="s">
        <v>54</v>
      </c>
      <c r="D54" s="126">
        <v>0.35</v>
      </c>
      <c r="E54" s="200">
        <v>8.93</v>
      </c>
    </row>
    <row r="55" spans="1:5">
      <c r="A55" s="127" t="s">
        <v>7</v>
      </c>
      <c r="B55" s="125"/>
      <c r="C55" s="124"/>
      <c r="D55" s="131">
        <f>SUM(D52:D54)</f>
        <v>2.6</v>
      </c>
      <c r="E55" s="129">
        <f>SUM(E52:E54)</f>
        <v>70.55</v>
      </c>
    </row>
    <row r="56" spans="1:5">
      <c r="A56" s="127"/>
      <c r="B56" s="125"/>
      <c r="C56" s="124"/>
      <c r="D56" s="131"/>
      <c r="E56" s="129"/>
    </row>
    <row r="57" spans="1:5">
      <c r="A57" s="124" t="s">
        <v>480</v>
      </c>
      <c r="B57" s="125" t="s">
        <v>240</v>
      </c>
      <c r="C57" s="124" t="s">
        <v>241</v>
      </c>
      <c r="D57" s="126">
        <v>2.88</v>
      </c>
      <c r="E57" s="200">
        <v>93.55</v>
      </c>
    </row>
    <row r="58" spans="1:5">
      <c r="A58" s="127" t="s">
        <v>7</v>
      </c>
      <c r="B58" s="125"/>
      <c r="C58" s="124"/>
      <c r="D58" s="131">
        <f>SUM(D57)</f>
        <v>2.88</v>
      </c>
      <c r="E58" s="129">
        <f>SUM(E57)</f>
        <v>93.55</v>
      </c>
    </row>
    <row r="59" spans="1:5">
      <c r="A59" s="127"/>
      <c r="B59" s="125"/>
      <c r="C59" s="124"/>
      <c r="D59" s="131"/>
      <c r="E59" s="129"/>
    </row>
    <row r="60" spans="1:5">
      <c r="A60" s="124" t="s">
        <v>493</v>
      </c>
      <c r="B60" s="125" t="s">
        <v>171</v>
      </c>
      <c r="C60" s="124" t="s">
        <v>25</v>
      </c>
      <c r="D60" s="126">
        <v>0.13</v>
      </c>
      <c r="E60" s="200">
        <v>4.2</v>
      </c>
    </row>
    <row r="61" spans="1:5">
      <c r="A61" s="124" t="s">
        <v>505</v>
      </c>
      <c r="B61" s="125" t="s">
        <v>171</v>
      </c>
      <c r="C61" s="124" t="s">
        <v>25</v>
      </c>
      <c r="D61" s="126">
        <v>0.03</v>
      </c>
      <c r="E61" s="200">
        <v>1.05</v>
      </c>
    </row>
    <row r="62" spans="1:5">
      <c r="A62" s="124" t="s">
        <v>500</v>
      </c>
      <c r="B62" s="125" t="s">
        <v>171</v>
      </c>
      <c r="C62" s="124" t="s">
        <v>25</v>
      </c>
      <c r="D62" s="126">
        <v>0.08</v>
      </c>
      <c r="E62" s="200">
        <v>2.5</v>
      </c>
    </row>
    <row r="63" spans="1:5">
      <c r="A63" s="124" t="s">
        <v>397</v>
      </c>
      <c r="B63" s="125" t="s">
        <v>171</v>
      </c>
      <c r="C63" s="124" t="s">
        <v>25</v>
      </c>
      <c r="D63" s="126">
        <v>0.45</v>
      </c>
      <c r="E63" s="200">
        <v>14.23</v>
      </c>
    </row>
    <row r="64" spans="1:5">
      <c r="A64" s="127" t="s">
        <v>7</v>
      </c>
      <c r="B64" s="124"/>
      <c r="C64" s="124"/>
      <c r="D64" s="131">
        <f>SUM(D60:D63)</f>
        <v>0.69</v>
      </c>
      <c r="E64" s="129">
        <f>SUM(E60:E63)</f>
        <v>21.98</v>
      </c>
    </row>
    <row r="65" spans="1:6">
      <c r="A65" s="127"/>
      <c r="B65" s="124"/>
      <c r="C65" s="124"/>
      <c r="D65" s="131"/>
      <c r="E65" s="129"/>
    </row>
    <row r="66" spans="1:6">
      <c r="A66" s="124" t="s">
        <v>413</v>
      </c>
      <c r="B66" s="125" t="s">
        <v>172</v>
      </c>
      <c r="C66" s="124" t="s">
        <v>12</v>
      </c>
      <c r="D66" s="126">
        <v>0.6</v>
      </c>
      <c r="E66" s="200">
        <v>21.18</v>
      </c>
    </row>
    <row r="67" spans="1:6">
      <c r="A67" s="127" t="s">
        <v>7</v>
      </c>
      <c r="B67" s="124"/>
      <c r="C67" s="124"/>
      <c r="D67" s="131">
        <f>SUM(D66:D66)</f>
        <v>0.6</v>
      </c>
      <c r="E67" s="129">
        <f>SUM(E66:E66)</f>
        <v>21.18</v>
      </c>
    </row>
    <row r="68" spans="1:6">
      <c r="A68" s="127"/>
      <c r="B68" s="124"/>
      <c r="C68" s="124"/>
      <c r="D68" s="131"/>
      <c r="E68" s="129"/>
    </row>
    <row r="69" spans="1:6">
      <c r="A69" s="140" t="s">
        <v>37</v>
      </c>
      <c r="B69" s="141">
        <v>100051</v>
      </c>
      <c r="C69" s="140" t="s">
        <v>34</v>
      </c>
      <c r="D69" s="142">
        <v>10</v>
      </c>
      <c r="E69" s="202">
        <v>255</v>
      </c>
      <c r="F69" t="s">
        <v>508</v>
      </c>
    </row>
    <row r="70" spans="1:6">
      <c r="A70" s="124" t="s">
        <v>213</v>
      </c>
      <c r="B70" s="125">
        <v>100051</v>
      </c>
      <c r="C70" s="124" t="s">
        <v>34</v>
      </c>
      <c r="D70" s="126">
        <v>2.38</v>
      </c>
      <c r="E70" s="200">
        <v>57.2</v>
      </c>
    </row>
    <row r="71" spans="1:6">
      <c r="A71" s="127" t="s">
        <v>7</v>
      </c>
      <c r="B71" s="124"/>
      <c r="C71" s="124"/>
      <c r="D71" s="131">
        <f>SUM(D69:D70)</f>
        <v>12.379999999999999</v>
      </c>
      <c r="E71" s="129">
        <f>SUM(E69:E70)</f>
        <v>312.2</v>
      </c>
    </row>
    <row r="72" spans="1:6">
      <c r="A72" s="127"/>
      <c r="B72" s="124"/>
      <c r="C72" s="124"/>
      <c r="D72" s="131"/>
      <c r="E72" s="129"/>
    </row>
    <row r="73" spans="1:6">
      <c r="A73" s="140" t="s">
        <v>41</v>
      </c>
      <c r="B73" s="141" t="s">
        <v>170</v>
      </c>
      <c r="C73" s="140" t="s">
        <v>518</v>
      </c>
      <c r="D73" s="142">
        <v>4</v>
      </c>
      <c r="E73" s="202">
        <v>108</v>
      </c>
      <c r="F73" t="s">
        <v>508</v>
      </c>
    </row>
    <row r="74" spans="1:6">
      <c r="A74" s="127" t="s">
        <v>7</v>
      </c>
      <c r="B74" s="124"/>
      <c r="C74" s="124"/>
      <c r="D74" s="131">
        <f>SUM(D73)</f>
        <v>4</v>
      </c>
      <c r="E74" s="129">
        <f>SUM(E73)</f>
        <v>108</v>
      </c>
    </row>
    <row r="75" spans="1:6">
      <c r="A75" s="127"/>
      <c r="B75" s="124"/>
      <c r="C75" s="124"/>
      <c r="D75" s="131"/>
      <c r="E75" s="129"/>
    </row>
    <row r="76" spans="1:6">
      <c r="A76" s="124" t="s">
        <v>475</v>
      </c>
      <c r="B76" s="124" t="s">
        <v>476</v>
      </c>
      <c r="C76" s="124" t="s">
        <v>477</v>
      </c>
      <c r="D76" s="126">
        <v>1.48</v>
      </c>
      <c r="E76" s="200">
        <v>53.49</v>
      </c>
    </row>
    <row r="77" spans="1:6">
      <c r="A77" s="127" t="s">
        <v>7</v>
      </c>
      <c r="B77" s="124"/>
      <c r="C77" s="124"/>
      <c r="D77" s="131">
        <f>SUM(D76)</f>
        <v>1.48</v>
      </c>
      <c r="E77" s="129">
        <f>SUM(E76)</f>
        <v>53.49</v>
      </c>
    </row>
    <row r="78" spans="1:6">
      <c r="A78" s="127"/>
      <c r="B78" s="124"/>
      <c r="C78" s="124"/>
      <c r="D78" s="131"/>
      <c r="E78" s="129"/>
    </row>
    <row r="79" spans="1:6">
      <c r="A79" s="122" t="s">
        <v>194</v>
      </c>
      <c r="B79" s="123"/>
      <c r="C79" s="123"/>
      <c r="D79" s="131">
        <f>D9+D15+D18+D22+D40+D43+D47+D50+D55+D58+D64+D67+D71+D74+D77</f>
        <v>114.30999999999999</v>
      </c>
      <c r="E79" s="129">
        <f>E9+E15+E18+E22+E40+E43+E47+E50+E55+E58+E64+E67+E71+E74+E77</f>
        <v>3287.5800000000004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3FEBE-286C-4F13-8443-A914B8A1C555}">
  <dimension ref="A1:L90"/>
  <sheetViews>
    <sheetView workbookViewId="0">
      <selection activeCell="H21" sqref="A1:XFD1048576"/>
    </sheetView>
  </sheetViews>
  <sheetFormatPr defaultRowHeight="12.75"/>
  <cols>
    <col min="1" max="1" width="19.5703125" style="231" bestFit="1" customWidth="1"/>
    <col min="2" max="2" width="22.7109375" style="231" bestFit="1" customWidth="1"/>
    <col min="3" max="3" width="34.28515625" style="231" bestFit="1" customWidth="1"/>
    <col min="4" max="4" width="20.28515625" style="231" bestFit="1" customWidth="1"/>
    <col min="5" max="5" width="10.28515625" style="231" customWidth="1"/>
    <col min="6" max="7" width="9.140625" style="231"/>
    <col min="8" max="8" width="11" style="231" bestFit="1" customWidth="1"/>
    <col min="9" max="9" width="15.7109375" style="231" customWidth="1"/>
    <col min="10" max="10" width="9.140625" style="231"/>
    <col min="11" max="11" width="11.42578125" style="231" customWidth="1"/>
    <col min="12" max="16384" width="9.140625" style="231"/>
  </cols>
  <sheetData>
    <row r="1" spans="1:12">
      <c r="A1" s="230" t="s">
        <v>147</v>
      </c>
      <c r="B1" s="230" t="s">
        <v>148</v>
      </c>
      <c r="C1" s="230" t="s">
        <v>149</v>
      </c>
      <c r="D1" s="230" t="s">
        <v>150</v>
      </c>
      <c r="E1" s="230" t="s">
        <v>151</v>
      </c>
      <c r="H1" s="232" t="s">
        <v>259</v>
      </c>
      <c r="I1" s="233" t="s">
        <v>334</v>
      </c>
      <c r="J1" s="234" t="s">
        <v>260</v>
      </c>
      <c r="K1" s="235" t="s">
        <v>262</v>
      </c>
      <c r="L1" s="236" t="s">
        <v>261</v>
      </c>
    </row>
    <row r="2" spans="1:12">
      <c r="A2" s="231" t="s">
        <v>506</v>
      </c>
      <c r="B2" s="231">
        <v>1020</v>
      </c>
      <c r="C2" s="231" t="s">
        <v>15</v>
      </c>
      <c r="D2" s="231">
        <v>0.85</v>
      </c>
      <c r="E2" s="237">
        <v>28.05</v>
      </c>
      <c r="H2" s="238">
        <f>E20+E25+E27+E31+E33+E35+E36+E38+E39+E46+E47+E50+E51+E52+E70+E71+E75+E84</f>
        <v>6717.7599999999993</v>
      </c>
      <c r="I2" s="239">
        <f>E6</f>
        <v>175.35</v>
      </c>
      <c r="J2" s="240">
        <f>E13+E87</f>
        <v>368.25</v>
      </c>
      <c r="K2" s="241">
        <v>0</v>
      </c>
      <c r="L2" s="242">
        <v>0</v>
      </c>
    </row>
    <row r="3" spans="1:12">
      <c r="A3" s="231" t="s">
        <v>389</v>
      </c>
      <c r="B3" s="231">
        <v>1020</v>
      </c>
      <c r="C3" s="231" t="s">
        <v>15</v>
      </c>
      <c r="D3" s="231">
        <v>2.97</v>
      </c>
      <c r="E3" s="237">
        <v>93.72</v>
      </c>
      <c r="H3" s="243"/>
      <c r="I3" s="231" t="s">
        <v>263</v>
      </c>
      <c r="J3" s="243"/>
      <c r="K3" s="243"/>
      <c r="L3" s="243"/>
    </row>
    <row r="4" spans="1:12">
      <c r="A4" s="231" t="s">
        <v>18</v>
      </c>
      <c r="B4" s="231">
        <v>1020</v>
      </c>
      <c r="C4" s="231" t="s">
        <v>15</v>
      </c>
      <c r="D4" s="231">
        <v>7.0000000000000007E-2</v>
      </c>
      <c r="E4" s="237">
        <v>1.89</v>
      </c>
      <c r="H4" s="244"/>
      <c r="I4" s="244"/>
      <c r="J4" s="244"/>
      <c r="K4" s="244"/>
      <c r="L4" s="244"/>
    </row>
    <row r="5" spans="1:12">
      <c r="A5" s="231" t="s">
        <v>434</v>
      </c>
      <c r="B5" s="231">
        <v>400020</v>
      </c>
      <c r="C5" s="231" t="s">
        <v>98</v>
      </c>
      <c r="D5" s="231">
        <v>2.2999999999999998</v>
      </c>
      <c r="E5" s="237">
        <v>73.930000000000007</v>
      </c>
      <c r="I5" s="231" t="s">
        <v>461</v>
      </c>
    </row>
    <row r="6" spans="1:12" ht="15">
      <c r="A6" s="245" t="s">
        <v>496</v>
      </c>
      <c r="B6" s="245">
        <v>1020</v>
      </c>
      <c r="C6" s="245" t="s">
        <v>15</v>
      </c>
      <c r="D6" s="245">
        <v>5.57</v>
      </c>
      <c r="E6" s="246">
        <v>175.35</v>
      </c>
      <c r="F6" s="231" t="s">
        <v>508</v>
      </c>
      <c r="I6" s="247" t="s">
        <v>454</v>
      </c>
    </row>
    <row r="7" spans="1:12" ht="15">
      <c r="A7" s="231" t="s">
        <v>377</v>
      </c>
      <c r="B7" s="231">
        <v>1020</v>
      </c>
      <c r="C7" s="231" t="s">
        <v>15</v>
      </c>
      <c r="D7" s="231">
        <v>2.67</v>
      </c>
      <c r="E7" s="237">
        <v>89.2</v>
      </c>
      <c r="I7" s="248" t="s">
        <v>455</v>
      </c>
    </row>
    <row r="8" spans="1:12">
      <c r="A8" s="231" t="s">
        <v>469</v>
      </c>
      <c r="B8" s="231">
        <v>1020</v>
      </c>
      <c r="C8" s="231" t="s">
        <v>15</v>
      </c>
      <c r="D8" s="231">
        <v>0.18</v>
      </c>
      <c r="E8" s="237">
        <v>5.09</v>
      </c>
    </row>
    <row r="9" spans="1:12">
      <c r="A9" s="231" t="s">
        <v>426</v>
      </c>
      <c r="B9" s="231">
        <v>290020</v>
      </c>
      <c r="C9" s="231" t="s">
        <v>373</v>
      </c>
      <c r="D9" s="231">
        <v>1.7</v>
      </c>
      <c r="E9" s="237">
        <v>56.81</v>
      </c>
    </row>
    <row r="10" spans="1:12">
      <c r="A10" s="230" t="s">
        <v>7</v>
      </c>
      <c r="D10" s="230">
        <v>16.309999999999999</v>
      </c>
      <c r="E10" s="249">
        <v>524.04</v>
      </c>
    </row>
    <row r="11" spans="1:12">
      <c r="A11" s="230"/>
      <c r="D11" s="230"/>
      <c r="E11" s="230"/>
    </row>
    <row r="12" spans="1:12">
      <c r="A12" s="231" t="s">
        <v>488</v>
      </c>
      <c r="B12" s="231">
        <v>1035</v>
      </c>
      <c r="C12" s="231" t="s">
        <v>23</v>
      </c>
      <c r="D12" s="231">
        <v>7.0000000000000007E-2</v>
      </c>
      <c r="E12" s="237">
        <v>2.5</v>
      </c>
    </row>
    <row r="13" spans="1:12">
      <c r="A13" s="250" t="s">
        <v>494</v>
      </c>
      <c r="B13" s="250">
        <v>400035</v>
      </c>
      <c r="C13" s="250" t="s">
        <v>101</v>
      </c>
      <c r="D13" s="250">
        <v>4.8499999999999996</v>
      </c>
      <c r="E13" s="251">
        <v>189.15</v>
      </c>
      <c r="F13" s="231" t="s">
        <v>508</v>
      </c>
    </row>
    <row r="14" spans="1:12">
      <c r="A14" s="230" t="s">
        <v>7</v>
      </c>
      <c r="D14" s="230">
        <v>4.92</v>
      </c>
      <c r="E14" s="249">
        <v>191.65</v>
      </c>
    </row>
    <row r="15" spans="1:12">
      <c r="A15" s="230"/>
      <c r="D15" s="230"/>
      <c r="E15" s="230"/>
    </row>
    <row r="16" spans="1:12">
      <c r="A16" s="231" t="s">
        <v>471</v>
      </c>
      <c r="B16" s="231">
        <v>1041</v>
      </c>
      <c r="C16" s="231" t="s">
        <v>196</v>
      </c>
      <c r="D16" s="231">
        <v>0.98</v>
      </c>
      <c r="E16" s="237">
        <v>33.93</v>
      </c>
    </row>
    <row r="17" spans="1:8">
      <c r="A17" s="230" t="s">
        <v>7</v>
      </c>
      <c r="D17" s="230">
        <v>0.98</v>
      </c>
      <c r="E17" s="249">
        <v>33.93</v>
      </c>
    </row>
    <row r="18" spans="1:8">
      <c r="A18" s="230"/>
      <c r="D18" s="230"/>
      <c r="E18" s="230"/>
    </row>
    <row r="19" spans="1:8">
      <c r="A19" s="231" t="s">
        <v>14</v>
      </c>
      <c r="B19" s="231">
        <v>1044</v>
      </c>
      <c r="C19" s="231" t="s">
        <v>91</v>
      </c>
      <c r="D19" s="231">
        <v>0.3</v>
      </c>
      <c r="E19" s="237">
        <v>9.93</v>
      </c>
    </row>
    <row r="20" spans="1:8">
      <c r="A20" s="252" t="s">
        <v>335</v>
      </c>
      <c r="B20" s="252">
        <v>1044</v>
      </c>
      <c r="C20" s="252" t="s">
        <v>91</v>
      </c>
      <c r="D20" s="252">
        <v>11.18</v>
      </c>
      <c r="E20" s="253">
        <v>348.92</v>
      </c>
      <c r="F20" s="231" t="s">
        <v>508</v>
      </c>
      <c r="H20" s="231" t="s">
        <v>522</v>
      </c>
    </row>
    <row r="21" spans="1:8">
      <c r="A21" s="230" t="s">
        <v>7</v>
      </c>
      <c r="D21" s="230">
        <v>11.48</v>
      </c>
      <c r="E21" s="249">
        <v>358.85</v>
      </c>
    </row>
    <row r="23" spans="1:8">
      <c r="A23" s="231" t="s">
        <v>523</v>
      </c>
      <c r="B23" s="231">
        <v>1045</v>
      </c>
      <c r="C23" s="231" t="s">
        <v>66</v>
      </c>
      <c r="D23" s="231">
        <v>5</v>
      </c>
      <c r="E23" s="237">
        <v>116.25</v>
      </c>
    </row>
    <row r="24" spans="1:8">
      <c r="A24" s="231" t="s">
        <v>492</v>
      </c>
      <c r="B24" s="231">
        <v>1045</v>
      </c>
      <c r="C24" s="231" t="s">
        <v>66</v>
      </c>
      <c r="D24" s="231">
        <v>0.15</v>
      </c>
      <c r="E24" s="237">
        <v>3.6</v>
      </c>
    </row>
    <row r="25" spans="1:8">
      <c r="A25" s="252" t="s">
        <v>228</v>
      </c>
      <c r="B25" s="252">
        <v>1045</v>
      </c>
      <c r="C25" s="252" t="s">
        <v>66</v>
      </c>
      <c r="D25" s="252">
        <v>10.65</v>
      </c>
      <c r="E25" s="253">
        <v>274.13</v>
      </c>
      <c r="F25" s="231" t="s">
        <v>508</v>
      </c>
    </row>
    <row r="26" spans="1:8">
      <c r="A26" s="231" t="s">
        <v>524</v>
      </c>
      <c r="B26" s="231">
        <v>1045</v>
      </c>
      <c r="C26" s="231" t="s">
        <v>66</v>
      </c>
      <c r="D26" s="231">
        <v>4.5</v>
      </c>
      <c r="E26" s="237">
        <v>104.63</v>
      </c>
    </row>
    <row r="27" spans="1:8">
      <c r="A27" s="252" t="s">
        <v>509</v>
      </c>
      <c r="B27" s="252">
        <v>1045</v>
      </c>
      <c r="C27" s="252" t="s">
        <v>66</v>
      </c>
      <c r="D27" s="252">
        <v>12.02</v>
      </c>
      <c r="E27" s="253">
        <v>288.39999999999998</v>
      </c>
      <c r="F27" s="231" t="s">
        <v>508</v>
      </c>
    </row>
    <row r="28" spans="1:8">
      <c r="A28" s="231" t="s">
        <v>472</v>
      </c>
      <c r="B28" s="231">
        <v>1045</v>
      </c>
      <c r="C28" s="231" t="s">
        <v>66</v>
      </c>
      <c r="D28" s="231">
        <v>4.2</v>
      </c>
      <c r="E28" s="237">
        <v>100.8</v>
      </c>
    </row>
    <row r="29" spans="1:8">
      <c r="A29" s="231" t="s">
        <v>267</v>
      </c>
      <c r="B29" s="231">
        <v>1045</v>
      </c>
      <c r="C29" s="231" t="s">
        <v>66</v>
      </c>
      <c r="D29" s="231">
        <v>0.28000000000000003</v>
      </c>
      <c r="E29" s="237">
        <v>7.29</v>
      </c>
    </row>
    <row r="30" spans="1:8">
      <c r="A30" s="231" t="s">
        <v>473</v>
      </c>
      <c r="B30" s="231">
        <v>1045</v>
      </c>
      <c r="C30" s="231" t="s">
        <v>66</v>
      </c>
      <c r="D30" s="231">
        <v>0.08</v>
      </c>
      <c r="E30" s="237">
        <v>1.94</v>
      </c>
    </row>
    <row r="31" spans="1:8">
      <c r="A31" s="252" t="s">
        <v>86</v>
      </c>
      <c r="B31" s="252">
        <v>1045</v>
      </c>
      <c r="C31" s="252" t="s">
        <v>66</v>
      </c>
      <c r="D31" s="252">
        <v>4.47</v>
      </c>
      <c r="E31" s="253">
        <v>123.95</v>
      </c>
      <c r="F31" s="231" t="s">
        <v>508</v>
      </c>
    </row>
    <row r="32" spans="1:8">
      <c r="A32" s="231" t="s">
        <v>464</v>
      </c>
      <c r="B32" s="231">
        <v>1045</v>
      </c>
      <c r="C32" s="231" t="s">
        <v>66</v>
      </c>
      <c r="D32" s="231">
        <v>1.58</v>
      </c>
      <c r="E32" s="237">
        <v>38</v>
      </c>
    </row>
    <row r="33" spans="1:6">
      <c r="A33" s="252" t="s">
        <v>429</v>
      </c>
      <c r="B33" s="252">
        <v>1045</v>
      </c>
      <c r="C33" s="252" t="s">
        <v>66</v>
      </c>
      <c r="D33" s="252">
        <v>6.13</v>
      </c>
      <c r="E33" s="253">
        <v>161</v>
      </c>
      <c r="F33" s="231" t="s">
        <v>508</v>
      </c>
    </row>
    <row r="34" spans="1:6">
      <c r="A34" s="231" t="s">
        <v>510</v>
      </c>
      <c r="B34" s="231">
        <v>1045</v>
      </c>
      <c r="C34" s="231" t="s">
        <v>66</v>
      </c>
      <c r="D34" s="231">
        <v>2.8</v>
      </c>
      <c r="E34" s="237">
        <v>69.3</v>
      </c>
    </row>
    <row r="35" spans="1:6">
      <c r="A35" s="252" t="s">
        <v>328</v>
      </c>
      <c r="B35" s="252">
        <v>1045</v>
      </c>
      <c r="C35" s="252" t="s">
        <v>66</v>
      </c>
      <c r="D35" s="252">
        <v>12.77</v>
      </c>
      <c r="E35" s="253">
        <v>348.53</v>
      </c>
      <c r="F35" s="231" t="s">
        <v>508</v>
      </c>
    </row>
    <row r="36" spans="1:6">
      <c r="A36" s="252" t="s">
        <v>525</v>
      </c>
      <c r="B36" s="252">
        <v>1045</v>
      </c>
      <c r="C36" s="252" t="s">
        <v>66</v>
      </c>
      <c r="D36" s="252">
        <v>8.3000000000000007</v>
      </c>
      <c r="E36" s="253">
        <v>224.1</v>
      </c>
      <c r="F36" s="231" t="s">
        <v>508</v>
      </c>
    </row>
    <row r="37" spans="1:6">
      <c r="A37" s="231" t="s">
        <v>270</v>
      </c>
      <c r="B37" s="231">
        <v>1045</v>
      </c>
      <c r="C37" s="231" t="s">
        <v>66</v>
      </c>
      <c r="D37" s="231">
        <v>0.8</v>
      </c>
      <c r="E37" s="237">
        <v>24.1</v>
      </c>
    </row>
    <row r="38" spans="1:6">
      <c r="A38" s="252" t="s">
        <v>79</v>
      </c>
      <c r="B38" s="252">
        <v>1045</v>
      </c>
      <c r="C38" s="252" t="s">
        <v>66</v>
      </c>
      <c r="D38" s="252">
        <v>4.05</v>
      </c>
      <c r="E38" s="253">
        <v>101.09</v>
      </c>
      <c r="F38" s="231" t="s">
        <v>508</v>
      </c>
    </row>
    <row r="39" spans="1:6">
      <c r="A39" s="252" t="s">
        <v>375</v>
      </c>
      <c r="B39" s="252">
        <v>1045</v>
      </c>
      <c r="C39" s="252" t="s">
        <v>66</v>
      </c>
      <c r="D39" s="252">
        <v>5.83</v>
      </c>
      <c r="E39" s="253">
        <v>153.04</v>
      </c>
      <c r="F39" s="231" t="s">
        <v>508</v>
      </c>
    </row>
    <row r="40" spans="1:6">
      <c r="A40" s="231" t="s">
        <v>516</v>
      </c>
      <c r="B40" s="231">
        <v>1045</v>
      </c>
      <c r="C40" s="231" t="s">
        <v>66</v>
      </c>
      <c r="D40" s="231">
        <v>0.22</v>
      </c>
      <c r="E40" s="237">
        <v>5.04</v>
      </c>
    </row>
    <row r="41" spans="1:6">
      <c r="A41" s="230" t="s">
        <v>7</v>
      </c>
      <c r="D41" s="230">
        <v>83.83</v>
      </c>
      <c r="E41" s="249">
        <v>2145.19</v>
      </c>
    </row>
    <row r="42" spans="1:6">
      <c r="A42" s="230"/>
      <c r="D42" s="230"/>
      <c r="E42" s="230"/>
    </row>
    <row r="43" spans="1:6">
      <c r="A43" s="231" t="s">
        <v>163</v>
      </c>
      <c r="B43" s="231">
        <v>1046</v>
      </c>
      <c r="C43" s="231" t="s">
        <v>51</v>
      </c>
      <c r="D43" s="231">
        <v>23.38</v>
      </c>
      <c r="E43" s="237">
        <v>771.65</v>
      </c>
    </row>
    <row r="44" spans="1:6">
      <c r="A44" s="230" t="s">
        <v>7</v>
      </c>
      <c r="D44" s="230">
        <v>23.38</v>
      </c>
      <c r="E44" s="249">
        <v>771.65</v>
      </c>
    </row>
    <row r="45" spans="1:6">
      <c r="A45" s="230"/>
      <c r="D45" s="230"/>
      <c r="E45" s="230"/>
    </row>
    <row r="46" spans="1:6">
      <c r="A46" s="252" t="s">
        <v>203</v>
      </c>
      <c r="B46" s="252">
        <v>1047</v>
      </c>
      <c r="C46" s="252" t="s">
        <v>60</v>
      </c>
      <c r="D46" s="252">
        <v>14.25</v>
      </c>
      <c r="E46" s="253">
        <v>320.63</v>
      </c>
      <c r="F46" s="231" t="s">
        <v>508</v>
      </c>
    </row>
    <row r="47" spans="1:6">
      <c r="A47" s="252" t="s">
        <v>64</v>
      </c>
      <c r="B47" s="252">
        <v>1047</v>
      </c>
      <c r="C47" s="252" t="s">
        <v>60</v>
      </c>
      <c r="D47" s="252">
        <v>16.579999999999998</v>
      </c>
      <c r="E47" s="253">
        <v>373.13</v>
      </c>
      <c r="F47" s="231" t="s">
        <v>508</v>
      </c>
    </row>
    <row r="48" spans="1:6">
      <c r="A48" s="230" t="s">
        <v>7</v>
      </c>
      <c r="D48" s="230">
        <v>30.83</v>
      </c>
      <c r="E48" s="249">
        <v>693.76</v>
      </c>
    </row>
    <row r="49" spans="1:6">
      <c r="A49" s="230"/>
      <c r="D49" s="230"/>
      <c r="E49" s="230"/>
    </row>
    <row r="50" spans="1:6">
      <c r="A50" s="252" t="s">
        <v>421</v>
      </c>
      <c r="B50" s="252">
        <v>1049</v>
      </c>
      <c r="C50" s="252" t="s">
        <v>54</v>
      </c>
      <c r="D50" s="252">
        <v>7.9</v>
      </c>
      <c r="E50" s="253">
        <v>217.57</v>
      </c>
      <c r="F50" s="231" t="s">
        <v>508</v>
      </c>
    </row>
    <row r="51" spans="1:6">
      <c r="A51" s="252" t="s">
        <v>292</v>
      </c>
      <c r="B51" s="252">
        <v>1049</v>
      </c>
      <c r="C51" s="252" t="s">
        <v>54</v>
      </c>
      <c r="D51" s="252">
        <v>6.7</v>
      </c>
      <c r="E51" s="253">
        <v>175.88</v>
      </c>
      <c r="F51" s="231" t="s">
        <v>508</v>
      </c>
    </row>
    <row r="52" spans="1:6">
      <c r="A52" s="252" t="s">
        <v>484</v>
      </c>
      <c r="B52" s="252">
        <v>1049</v>
      </c>
      <c r="C52" s="252" t="s">
        <v>54</v>
      </c>
      <c r="D52" s="252">
        <v>6.97</v>
      </c>
      <c r="E52" s="253">
        <v>177.65</v>
      </c>
      <c r="F52" s="231" t="s">
        <v>508</v>
      </c>
    </row>
    <row r="53" spans="1:6">
      <c r="A53" s="230" t="s">
        <v>7</v>
      </c>
      <c r="D53" s="230">
        <v>21.57</v>
      </c>
      <c r="E53" s="249">
        <v>571.1</v>
      </c>
    </row>
    <row r="54" spans="1:6">
      <c r="A54" s="230"/>
      <c r="D54" s="230"/>
      <c r="E54" s="230"/>
    </row>
    <row r="55" spans="1:6">
      <c r="A55" s="231" t="s">
        <v>480</v>
      </c>
      <c r="B55" s="231">
        <v>1055</v>
      </c>
      <c r="C55" s="231" t="s">
        <v>241</v>
      </c>
      <c r="D55" s="231">
        <v>3.52</v>
      </c>
      <c r="E55" s="237">
        <v>114.1</v>
      </c>
    </row>
    <row r="56" spans="1:6">
      <c r="A56" s="230" t="s">
        <v>7</v>
      </c>
      <c r="D56" s="230">
        <v>3.52</v>
      </c>
      <c r="E56" s="249">
        <v>114.1</v>
      </c>
    </row>
    <row r="57" spans="1:6">
      <c r="A57" s="230"/>
      <c r="D57" s="230"/>
      <c r="E57" s="230"/>
    </row>
    <row r="58" spans="1:6">
      <c r="A58" s="231" t="s">
        <v>459</v>
      </c>
      <c r="B58" s="231">
        <v>1060</v>
      </c>
      <c r="C58" s="231" t="s">
        <v>25</v>
      </c>
      <c r="D58" s="231">
        <v>0.02</v>
      </c>
      <c r="E58" s="237">
        <v>0.53</v>
      </c>
    </row>
    <row r="59" spans="1:6">
      <c r="A59" s="231" t="s">
        <v>493</v>
      </c>
      <c r="B59" s="231">
        <v>1060</v>
      </c>
      <c r="C59" s="231" t="s">
        <v>25</v>
      </c>
      <c r="D59" s="231">
        <v>0.57999999999999996</v>
      </c>
      <c r="E59" s="237">
        <v>18.38</v>
      </c>
    </row>
    <row r="60" spans="1:6">
      <c r="A60" s="231" t="s">
        <v>512</v>
      </c>
      <c r="B60" s="231">
        <v>1060</v>
      </c>
      <c r="C60" s="231" t="s">
        <v>25</v>
      </c>
      <c r="D60" s="231">
        <v>0.02</v>
      </c>
      <c r="E60" s="237">
        <v>0.53</v>
      </c>
    </row>
    <row r="61" spans="1:6">
      <c r="A61" s="231" t="s">
        <v>505</v>
      </c>
      <c r="B61" s="231">
        <v>1060</v>
      </c>
      <c r="C61" s="231" t="s">
        <v>25</v>
      </c>
      <c r="D61" s="231">
        <v>0.08</v>
      </c>
      <c r="E61" s="237">
        <v>2.63</v>
      </c>
    </row>
    <row r="62" spans="1:6">
      <c r="A62" s="231" t="s">
        <v>500</v>
      </c>
      <c r="B62" s="231">
        <v>1060</v>
      </c>
      <c r="C62" s="231" t="s">
        <v>25</v>
      </c>
      <c r="D62" s="231">
        <v>0.28000000000000003</v>
      </c>
      <c r="E62" s="237">
        <v>8.5</v>
      </c>
    </row>
    <row r="63" spans="1:6">
      <c r="A63" s="231" t="s">
        <v>487</v>
      </c>
      <c r="B63" s="231">
        <v>1060</v>
      </c>
      <c r="C63" s="231" t="s">
        <v>25</v>
      </c>
      <c r="D63" s="231">
        <v>0.03</v>
      </c>
      <c r="E63" s="237">
        <v>1.1299999999999999</v>
      </c>
    </row>
    <row r="64" spans="1:6">
      <c r="A64" s="231" t="s">
        <v>397</v>
      </c>
      <c r="B64" s="231">
        <v>1060</v>
      </c>
      <c r="C64" s="231" t="s">
        <v>25</v>
      </c>
      <c r="D64" s="231">
        <v>0.02</v>
      </c>
      <c r="E64" s="237">
        <v>0.53</v>
      </c>
    </row>
    <row r="65" spans="1:6">
      <c r="A65" s="230" t="s">
        <v>7</v>
      </c>
      <c r="D65" s="230">
        <v>1.03</v>
      </c>
      <c r="E65" s="249">
        <v>32.229999999999997</v>
      </c>
    </row>
    <row r="66" spans="1:6">
      <c r="A66" s="230"/>
      <c r="D66" s="230"/>
      <c r="E66" s="230"/>
    </row>
    <row r="67" spans="1:6">
      <c r="A67" s="231" t="s">
        <v>413</v>
      </c>
      <c r="B67" s="231">
        <v>1065</v>
      </c>
      <c r="C67" s="231" t="s">
        <v>12</v>
      </c>
      <c r="D67" s="231">
        <v>2.4</v>
      </c>
      <c r="E67" s="237">
        <v>84.71</v>
      </c>
    </row>
    <row r="68" spans="1:6">
      <c r="A68" s="230" t="s">
        <v>7</v>
      </c>
      <c r="D68" s="230">
        <v>2.4</v>
      </c>
      <c r="E68" s="249">
        <v>84.71</v>
      </c>
    </row>
    <row r="69" spans="1:6">
      <c r="A69" s="230"/>
      <c r="D69" s="230"/>
      <c r="E69" s="230"/>
    </row>
    <row r="70" spans="1:6">
      <c r="A70" s="252" t="s">
        <v>37</v>
      </c>
      <c r="B70" s="252">
        <v>100051</v>
      </c>
      <c r="C70" s="252" t="s">
        <v>34</v>
      </c>
      <c r="D70" s="252">
        <v>34.97</v>
      </c>
      <c r="E70" s="253">
        <v>891.65</v>
      </c>
      <c r="F70" s="231" t="s">
        <v>508</v>
      </c>
    </row>
    <row r="71" spans="1:6">
      <c r="A71" s="252" t="s">
        <v>213</v>
      </c>
      <c r="B71" s="252">
        <v>100051</v>
      </c>
      <c r="C71" s="252" t="s">
        <v>34</v>
      </c>
      <c r="D71" s="252">
        <v>4.13</v>
      </c>
      <c r="E71" s="253">
        <v>99.2</v>
      </c>
      <c r="F71" s="231" t="s">
        <v>508</v>
      </c>
    </row>
    <row r="72" spans="1:6">
      <c r="A72" s="231" t="s">
        <v>274</v>
      </c>
      <c r="B72" s="231">
        <v>100051</v>
      </c>
      <c r="C72" s="231" t="s">
        <v>34</v>
      </c>
      <c r="D72" s="231">
        <v>1.93</v>
      </c>
      <c r="E72" s="237">
        <v>42.34</v>
      </c>
    </row>
    <row r="73" spans="1:6">
      <c r="A73" s="230" t="s">
        <v>7</v>
      </c>
      <c r="D73" s="230">
        <v>41.03</v>
      </c>
      <c r="E73" s="249">
        <v>1033.19</v>
      </c>
    </row>
    <row r="74" spans="1:6">
      <c r="A74" s="230"/>
      <c r="D74" s="230"/>
      <c r="E74" s="230"/>
    </row>
    <row r="75" spans="1:6">
      <c r="A75" s="252" t="s">
        <v>41</v>
      </c>
      <c r="B75" s="252">
        <v>1052</v>
      </c>
      <c r="C75" s="252" t="s">
        <v>518</v>
      </c>
      <c r="D75" s="252">
        <v>47.38</v>
      </c>
      <c r="E75" s="253">
        <v>1279.3499999999999</v>
      </c>
      <c r="F75" s="231" t="s">
        <v>508</v>
      </c>
    </row>
    <row r="76" spans="1:6">
      <c r="A76" s="230" t="s">
        <v>7</v>
      </c>
      <c r="D76" s="230">
        <v>47.38</v>
      </c>
      <c r="E76" s="249">
        <v>1279.3499999999999</v>
      </c>
    </row>
    <row r="77" spans="1:6">
      <c r="A77" s="230"/>
      <c r="D77" s="230"/>
      <c r="E77" s="230"/>
    </row>
    <row r="78" spans="1:6">
      <c r="A78" s="231" t="s">
        <v>369</v>
      </c>
      <c r="B78" s="231">
        <v>450044</v>
      </c>
      <c r="C78" s="231" t="s">
        <v>519</v>
      </c>
      <c r="D78" s="231">
        <v>1.1299999999999999</v>
      </c>
      <c r="E78" s="237">
        <v>27.2</v>
      </c>
    </row>
    <row r="79" spans="1:6">
      <c r="A79" s="230" t="s">
        <v>7</v>
      </c>
      <c r="D79" s="230">
        <v>1.1299999999999999</v>
      </c>
      <c r="E79" s="249">
        <v>27.2</v>
      </c>
    </row>
    <row r="80" spans="1:6">
      <c r="A80" s="230"/>
      <c r="D80" s="230"/>
      <c r="E80" s="230"/>
    </row>
    <row r="81" spans="1:6">
      <c r="A81" s="231" t="s">
        <v>427</v>
      </c>
      <c r="B81" s="231">
        <v>450051</v>
      </c>
      <c r="C81" s="231" t="s">
        <v>279</v>
      </c>
      <c r="D81" s="231">
        <v>2.5</v>
      </c>
      <c r="E81" s="237">
        <v>56.25</v>
      </c>
    </row>
    <row r="82" spans="1:6">
      <c r="A82" s="230" t="s">
        <v>7</v>
      </c>
      <c r="D82" s="230">
        <v>2.5</v>
      </c>
      <c r="E82" s="249">
        <v>56.25</v>
      </c>
    </row>
    <row r="83" spans="1:6">
      <c r="A83" s="230"/>
      <c r="D83" s="230"/>
      <c r="E83" s="230"/>
    </row>
    <row r="84" spans="1:6">
      <c r="A84" s="252" t="s">
        <v>39</v>
      </c>
      <c r="B84" s="252">
        <v>550051</v>
      </c>
      <c r="C84" s="252" t="s">
        <v>526</v>
      </c>
      <c r="D84" s="252">
        <v>46.85</v>
      </c>
      <c r="E84" s="253">
        <v>1159.54</v>
      </c>
      <c r="F84" s="231" t="s">
        <v>508</v>
      </c>
    </row>
    <row r="85" spans="1:6">
      <c r="A85" s="230" t="s">
        <v>7</v>
      </c>
      <c r="D85" s="230">
        <v>46.85</v>
      </c>
      <c r="E85" s="249">
        <v>1159.54</v>
      </c>
    </row>
    <row r="87" spans="1:6">
      <c r="A87" s="250" t="s">
        <v>475</v>
      </c>
      <c r="B87" s="250" t="s">
        <v>476</v>
      </c>
      <c r="C87" s="250" t="s">
        <v>477</v>
      </c>
      <c r="D87" s="250">
        <v>4.97</v>
      </c>
      <c r="E87" s="251">
        <v>179.1</v>
      </c>
      <c r="F87" s="231" t="s">
        <v>527</v>
      </c>
    </row>
    <row r="88" spans="1:6">
      <c r="A88" s="230" t="s">
        <v>7</v>
      </c>
      <c r="D88" s="230">
        <v>4.97</v>
      </c>
      <c r="E88" s="249">
        <v>179.1</v>
      </c>
    </row>
    <row r="89" spans="1:6">
      <c r="A89" s="230"/>
      <c r="D89" s="230"/>
      <c r="E89" s="230"/>
    </row>
    <row r="90" spans="1:6">
      <c r="A90" s="230" t="s">
        <v>194</v>
      </c>
      <c r="D90" s="230">
        <v>344.11</v>
      </c>
      <c r="E90" s="254">
        <v>9255.84</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E9B43-FFBE-4F40-BFFD-B0F84CB867EA}">
  <dimension ref="A1:O90"/>
  <sheetViews>
    <sheetView topLeftCell="A30" workbookViewId="0">
      <selection activeCell="H1" sqref="H1:N7"/>
    </sheetView>
  </sheetViews>
  <sheetFormatPr defaultRowHeight="12.75"/>
  <cols>
    <col min="1" max="1" width="19.5703125" style="231" bestFit="1" customWidth="1"/>
    <col min="2" max="2" width="22.7109375" style="231" bestFit="1" customWidth="1"/>
    <col min="3" max="3" width="34.28515625" style="231" bestFit="1" customWidth="1"/>
    <col min="4" max="4" width="18.7109375" style="231" customWidth="1"/>
    <col min="5" max="5" width="23" style="258" bestFit="1" customWidth="1"/>
    <col min="6" max="7" width="9.140625" style="231"/>
    <col min="8" max="8" width="11" style="231" bestFit="1" customWidth="1"/>
    <col min="9" max="9" width="15.7109375" style="231" customWidth="1"/>
    <col min="10" max="10" width="9.140625" style="231"/>
    <col min="11" max="11" width="11.42578125" style="231" customWidth="1"/>
    <col min="12" max="16384" width="9.140625" style="231"/>
  </cols>
  <sheetData>
    <row r="1" spans="1:12">
      <c r="A1" s="122" t="s">
        <v>147</v>
      </c>
      <c r="B1" s="122" t="s">
        <v>148</v>
      </c>
      <c r="C1" s="122" t="s">
        <v>149</v>
      </c>
      <c r="D1" s="122" t="s">
        <v>150</v>
      </c>
      <c r="E1" s="154" t="s">
        <v>151</v>
      </c>
      <c r="H1" s="232" t="s">
        <v>259</v>
      </c>
      <c r="I1" s="233" t="s">
        <v>334</v>
      </c>
      <c r="J1" s="234" t="s">
        <v>260</v>
      </c>
      <c r="K1" s="235" t="s">
        <v>262</v>
      </c>
      <c r="L1" s="236" t="s">
        <v>261</v>
      </c>
    </row>
    <row r="2" spans="1:12">
      <c r="A2" s="124" t="s">
        <v>506</v>
      </c>
      <c r="B2" s="125" t="s">
        <v>152</v>
      </c>
      <c r="C2" s="124" t="s">
        <v>15</v>
      </c>
      <c r="D2" s="126">
        <v>0.87</v>
      </c>
      <c r="E2" s="134">
        <v>28.6</v>
      </c>
      <c r="H2" s="238">
        <f>E17+E20+E21+E22+E24+E26+E31+E34+E35+E42+E61+E64</f>
        <v>4999.99</v>
      </c>
      <c r="I2" s="239">
        <v>0</v>
      </c>
      <c r="J2" s="240">
        <v>0</v>
      </c>
      <c r="K2" s="241">
        <v>0</v>
      </c>
      <c r="L2" s="242">
        <f>E70+E73+E76</f>
        <v>632.92999999999995</v>
      </c>
    </row>
    <row r="3" spans="1:12">
      <c r="A3" s="124" t="s">
        <v>389</v>
      </c>
      <c r="B3" s="125" t="s">
        <v>152</v>
      </c>
      <c r="C3" s="124" t="s">
        <v>15</v>
      </c>
      <c r="D3" s="126">
        <v>1.63</v>
      </c>
      <c r="E3" s="134">
        <v>51.6</v>
      </c>
      <c r="H3" s="243"/>
      <c r="I3" s="231" t="s">
        <v>263</v>
      </c>
      <c r="J3" s="243"/>
      <c r="K3" s="243"/>
      <c r="L3" s="243"/>
    </row>
    <row r="4" spans="1:12">
      <c r="A4" s="124" t="s">
        <v>434</v>
      </c>
      <c r="B4" s="125">
        <v>400020</v>
      </c>
      <c r="C4" s="124" t="s">
        <v>98</v>
      </c>
      <c r="D4" s="126">
        <v>0.18</v>
      </c>
      <c r="E4" s="134">
        <v>5.89</v>
      </c>
      <c r="H4" s="244"/>
      <c r="I4" s="244"/>
      <c r="J4" s="244"/>
      <c r="K4" s="244"/>
      <c r="L4" s="244"/>
    </row>
    <row r="5" spans="1:12">
      <c r="A5" s="124" t="s">
        <v>496</v>
      </c>
      <c r="B5" s="125" t="s">
        <v>152</v>
      </c>
      <c r="C5" s="124" t="s">
        <v>15</v>
      </c>
      <c r="D5" s="126">
        <v>2.17</v>
      </c>
      <c r="E5" s="134">
        <v>68.25</v>
      </c>
      <c r="I5" s="231" t="s">
        <v>461</v>
      </c>
    </row>
    <row r="6" spans="1:12" ht="15">
      <c r="A6" s="124" t="s">
        <v>377</v>
      </c>
      <c r="B6" s="125" t="s">
        <v>152</v>
      </c>
      <c r="C6" s="124" t="s">
        <v>15</v>
      </c>
      <c r="D6" s="126">
        <v>1.52</v>
      </c>
      <c r="E6" s="134">
        <v>50.73</v>
      </c>
      <c r="I6" s="247" t="s">
        <v>454</v>
      </c>
    </row>
    <row r="7" spans="1:12" ht="15">
      <c r="A7" s="124" t="s">
        <v>469</v>
      </c>
      <c r="B7" s="125" t="s">
        <v>152</v>
      </c>
      <c r="C7" s="124" t="s">
        <v>15</v>
      </c>
      <c r="D7" s="126">
        <v>0.13</v>
      </c>
      <c r="E7" s="134">
        <v>3.7</v>
      </c>
      <c r="I7" s="248" t="s">
        <v>455</v>
      </c>
    </row>
    <row r="8" spans="1:12">
      <c r="A8" s="127" t="s">
        <v>7</v>
      </c>
      <c r="B8" s="124"/>
      <c r="C8" s="124"/>
      <c r="D8" s="131">
        <f>SUM(D2:D7)</f>
        <v>6.4999999999999991</v>
      </c>
      <c r="E8" s="135">
        <f>SUM(E2:E7)</f>
        <v>208.76999999999998</v>
      </c>
    </row>
    <row r="9" spans="1:12">
      <c r="A9" s="127"/>
      <c r="B9" s="124"/>
      <c r="C9" s="124"/>
      <c r="D9" s="131"/>
      <c r="E9" s="135"/>
    </row>
    <row r="10" spans="1:12">
      <c r="A10" s="124" t="s">
        <v>501</v>
      </c>
      <c r="B10" s="125" t="s">
        <v>154</v>
      </c>
      <c r="C10" s="124" t="s">
        <v>23</v>
      </c>
      <c r="D10" s="126">
        <v>0.47</v>
      </c>
      <c r="E10" s="134">
        <v>17.5</v>
      </c>
    </row>
    <row r="11" spans="1:12">
      <c r="A11" s="124" t="s">
        <v>488</v>
      </c>
      <c r="B11" s="125" t="s">
        <v>154</v>
      </c>
      <c r="C11" s="124" t="s">
        <v>23</v>
      </c>
      <c r="D11" s="126">
        <v>7.0000000000000007E-2</v>
      </c>
      <c r="E11" s="134">
        <v>2.5</v>
      </c>
    </row>
    <row r="12" spans="1:12">
      <c r="A12" s="127" t="s">
        <v>7</v>
      </c>
      <c r="B12" s="124"/>
      <c r="C12" s="124"/>
      <c r="D12" s="131">
        <f>SUM(D10:D11)</f>
        <v>0.54</v>
      </c>
      <c r="E12" s="135">
        <f>SUM(E10:E11)</f>
        <v>20</v>
      </c>
    </row>
    <row r="13" spans="1:12">
      <c r="A13" s="127"/>
      <c r="B13" s="125"/>
      <c r="C13" s="124"/>
      <c r="D13" s="131"/>
      <c r="E13" s="135"/>
    </row>
    <row r="14" spans="1:12">
      <c r="A14" s="124" t="s">
        <v>415</v>
      </c>
      <c r="B14" s="125" t="s">
        <v>155</v>
      </c>
      <c r="C14" s="124" t="s">
        <v>196</v>
      </c>
      <c r="D14" s="126">
        <v>0.02</v>
      </c>
      <c r="E14" s="134">
        <v>0.55000000000000004</v>
      </c>
    </row>
    <row r="15" spans="1:12">
      <c r="A15" s="127" t="s">
        <v>7</v>
      </c>
      <c r="B15" s="125"/>
      <c r="C15" s="124"/>
      <c r="D15" s="131">
        <f>SUM(D14)</f>
        <v>0.02</v>
      </c>
      <c r="E15" s="135">
        <f>SUM(E14)</f>
        <v>0.55000000000000004</v>
      </c>
    </row>
    <row r="16" spans="1:12">
      <c r="A16" s="127"/>
      <c r="B16" s="125"/>
      <c r="C16" s="124"/>
      <c r="D16" s="131"/>
      <c r="E16" s="135"/>
    </row>
    <row r="17" spans="1:6">
      <c r="A17" s="140" t="s">
        <v>335</v>
      </c>
      <c r="B17" s="141" t="s">
        <v>156</v>
      </c>
      <c r="C17" s="140" t="s">
        <v>91</v>
      </c>
      <c r="D17" s="142">
        <v>11.2</v>
      </c>
      <c r="E17" s="143">
        <v>349.44</v>
      </c>
      <c r="F17" s="231" t="s">
        <v>508</v>
      </c>
    </row>
    <row r="18" spans="1:6">
      <c r="A18" s="127" t="s">
        <v>7</v>
      </c>
      <c r="B18" s="124"/>
      <c r="C18" s="124"/>
      <c r="D18" s="131">
        <f>SUM(D17:D17)</f>
        <v>11.2</v>
      </c>
      <c r="E18" s="135">
        <f>SUM(E17:E17)</f>
        <v>349.44</v>
      </c>
    </row>
    <row r="19" spans="1:6">
      <c r="A19" s="124"/>
      <c r="B19" s="124"/>
      <c r="C19" s="124"/>
      <c r="D19" s="126"/>
      <c r="E19" s="134"/>
    </row>
    <row r="20" spans="1:6">
      <c r="A20" s="140" t="s">
        <v>523</v>
      </c>
      <c r="B20" s="141" t="s">
        <v>157</v>
      </c>
      <c r="C20" s="140" t="s">
        <v>66</v>
      </c>
      <c r="D20" s="142">
        <v>4.9800000000000004</v>
      </c>
      <c r="E20" s="143">
        <v>115.86</v>
      </c>
      <c r="F20" s="231" t="s">
        <v>508</v>
      </c>
    </row>
    <row r="21" spans="1:6">
      <c r="A21" s="140" t="s">
        <v>228</v>
      </c>
      <c r="B21" s="141" t="s">
        <v>157</v>
      </c>
      <c r="C21" s="140" t="s">
        <v>66</v>
      </c>
      <c r="D21" s="142">
        <v>5.13</v>
      </c>
      <c r="E21" s="143">
        <v>132.13</v>
      </c>
      <c r="F21" s="231" t="s">
        <v>508</v>
      </c>
    </row>
    <row r="22" spans="1:6">
      <c r="A22" s="140" t="s">
        <v>509</v>
      </c>
      <c r="B22" s="141" t="s">
        <v>157</v>
      </c>
      <c r="C22" s="140" t="s">
        <v>66</v>
      </c>
      <c r="D22" s="142">
        <v>5.4</v>
      </c>
      <c r="E22" s="143">
        <v>129.6</v>
      </c>
      <c r="F22" s="231" t="s">
        <v>508</v>
      </c>
    </row>
    <row r="23" spans="1:6">
      <c r="A23" s="124" t="s">
        <v>472</v>
      </c>
      <c r="B23" s="125" t="s">
        <v>157</v>
      </c>
      <c r="C23" s="124" t="s">
        <v>66</v>
      </c>
      <c r="D23" s="126">
        <v>0.63</v>
      </c>
      <c r="E23" s="134">
        <v>15.2</v>
      </c>
    </row>
    <row r="24" spans="1:6">
      <c r="A24" s="140" t="s">
        <v>429</v>
      </c>
      <c r="B24" s="141" t="s">
        <v>157</v>
      </c>
      <c r="C24" s="140" t="s">
        <v>66</v>
      </c>
      <c r="D24" s="142">
        <v>5.88</v>
      </c>
      <c r="E24" s="143">
        <v>154.44</v>
      </c>
      <c r="F24" s="231" t="s">
        <v>508</v>
      </c>
    </row>
    <row r="25" spans="1:6">
      <c r="A25" s="124" t="s">
        <v>510</v>
      </c>
      <c r="B25" s="125" t="s">
        <v>157</v>
      </c>
      <c r="C25" s="124" t="s">
        <v>66</v>
      </c>
      <c r="D25" s="126">
        <v>1.45</v>
      </c>
      <c r="E25" s="134">
        <v>35.89</v>
      </c>
    </row>
    <row r="26" spans="1:6">
      <c r="A26" s="148" t="s">
        <v>328</v>
      </c>
      <c r="B26" s="149" t="s">
        <v>157</v>
      </c>
      <c r="C26" s="148" t="s">
        <v>66</v>
      </c>
      <c r="D26" s="150">
        <v>7.27</v>
      </c>
      <c r="E26" s="143">
        <v>198.38</v>
      </c>
      <c r="F26" s="231" t="s">
        <v>508</v>
      </c>
    </row>
    <row r="27" spans="1:6">
      <c r="A27" s="123" t="s">
        <v>270</v>
      </c>
      <c r="B27" s="132" t="s">
        <v>157</v>
      </c>
      <c r="C27" s="123" t="s">
        <v>66</v>
      </c>
      <c r="D27" s="133">
        <v>2.4</v>
      </c>
      <c r="E27" s="134">
        <v>72.290000000000006</v>
      </c>
    </row>
    <row r="28" spans="1:6">
      <c r="A28" s="123" t="s">
        <v>79</v>
      </c>
      <c r="B28" s="132" t="s">
        <v>157</v>
      </c>
      <c r="C28" s="123" t="s">
        <v>66</v>
      </c>
      <c r="D28" s="123">
        <v>3.67</v>
      </c>
      <c r="E28" s="134">
        <v>91.52</v>
      </c>
    </row>
    <row r="29" spans="1:6">
      <c r="A29" s="127" t="s">
        <v>7</v>
      </c>
      <c r="B29" s="124"/>
      <c r="C29" s="124"/>
      <c r="D29" s="131">
        <f>SUM(D20:D28)</f>
        <v>36.81</v>
      </c>
      <c r="E29" s="135">
        <f>SUM(E20:E28)</f>
        <v>945.31</v>
      </c>
    </row>
    <row r="30" spans="1:6">
      <c r="A30" s="127"/>
      <c r="B30" s="124"/>
      <c r="C30" s="124"/>
      <c r="D30" s="131"/>
      <c r="E30" s="135"/>
    </row>
    <row r="31" spans="1:6">
      <c r="A31" s="140" t="s">
        <v>163</v>
      </c>
      <c r="B31" s="141" t="s">
        <v>162</v>
      </c>
      <c r="C31" s="140" t="s">
        <v>51</v>
      </c>
      <c r="D31" s="142">
        <v>31.82</v>
      </c>
      <c r="E31" s="143">
        <v>1049.95</v>
      </c>
      <c r="F31" s="231" t="s">
        <v>508</v>
      </c>
    </row>
    <row r="32" spans="1:6">
      <c r="A32" s="127" t="s">
        <v>7</v>
      </c>
      <c r="B32" s="125"/>
      <c r="C32" s="124"/>
      <c r="D32" s="131">
        <f>SUM(D31:D31)</f>
        <v>31.82</v>
      </c>
      <c r="E32" s="135">
        <f>SUM(E31:E31)</f>
        <v>1049.95</v>
      </c>
    </row>
    <row r="33" spans="1:6">
      <c r="A33" s="127"/>
      <c r="B33" s="124"/>
      <c r="C33" s="124"/>
      <c r="D33" s="131"/>
      <c r="E33" s="135"/>
    </row>
    <row r="34" spans="1:6">
      <c r="A34" s="140" t="s">
        <v>203</v>
      </c>
      <c r="B34" s="141" t="s">
        <v>164</v>
      </c>
      <c r="C34" s="140" t="s">
        <v>60</v>
      </c>
      <c r="D34" s="142">
        <v>5.0199999999999996</v>
      </c>
      <c r="E34" s="143">
        <v>112.88</v>
      </c>
      <c r="F34" s="231" t="s">
        <v>508</v>
      </c>
    </row>
    <row r="35" spans="1:6">
      <c r="A35" s="140" t="s">
        <v>64</v>
      </c>
      <c r="B35" s="141" t="s">
        <v>164</v>
      </c>
      <c r="C35" s="140" t="s">
        <v>60</v>
      </c>
      <c r="D35" s="142">
        <v>6.78</v>
      </c>
      <c r="E35" s="143">
        <v>152.63</v>
      </c>
      <c r="F35" s="231" t="s">
        <v>508</v>
      </c>
    </row>
    <row r="36" spans="1:6">
      <c r="A36" s="127" t="s">
        <v>7</v>
      </c>
      <c r="B36" s="124"/>
      <c r="C36" s="124"/>
      <c r="D36" s="131">
        <f>SUM(D34:D35)</f>
        <v>11.8</v>
      </c>
      <c r="E36" s="135">
        <f>SUM(E34:E35)</f>
        <v>265.51</v>
      </c>
    </row>
    <row r="37" spans="1:6">
      <c r="A37" s="127"/>
      <c r="B37" s="124"/>
      <c r="C37" s="124"/>
      <c r="D37" s="131"/>
      <c r="E37" s="135"/>
    </row>
    <row r="38" spans="1:6">
      <c r="A38" s="124" t="s">
        <v>528</v>
      </c>
      <c r="B38" s="125" t="s">
        <v>165</v>
      </c>
      <c r="C38" s="124" t="s">
        <v>45</v>
      </c>
      <c r="D38" s="126">
        <v>0.35</v>
      </c>
      <c r="E38" s="134">
        <v>8.93</v>
      </c>
    </row>
    <row r="39" spans="1:6">
      <c r="A39" s="127" t="s">
        <v>7</v>
      </c>
      <c r="B39" s="124"/>
      <c r="C39" s="124"/>
      <c r="D39" s="131">
        <f>SUM(D38)</f>
        <v>0.35</v>
      </c>
      <c r="E39" s="135">
        <f>SUM(E38)</f>
        <v>8.93</v>
      </c>
    </row>
    <row r="40" spans="1:6">
      <c r="A40" s="127"/>
      <c r="B40" s="124"/>
      <c r="C40" s="124"/>
      <c r="D40" s="131"/>
      <c r="E40" s="135"/>
    </row>
    <row r="41" spans="1:6">
      <c r="A41" s="124" t="s">
        <v>421</v>
      </c>
      <c r="B41" s="125" t="s">
        <v>167</v>
      </c>
      <c r="C41" s="124" t="s">
        <v>54</v>
      </c>
      <c r="D41" s="126">
        <v>1.83</v>
      </c>
      <c r="E41" s="134">
        <v>50.49</v>
      </c>
    </row>
    <row r="42" spans="1:6">
      <c r="A42" s="140" t="s">
        <v>292</v>
      </c>
      <c r="B42" s="141" t="s">
        <v>167</v>
      </c>
      <c r="C42" s="140" t="s">
        <v>54</v>
      </c>
      <c r="D42" s="142">
        <v>8.4700000000000006</v>
      </c>
      <c r="E42" s="143">
        <v>222.25</v>
      </c>
      <c r="F42" s="231" t="s">
        <v>508</v>
      </c>
    </row>
    <row r="43" spans="1:6">
      <c r="A43" s="127" t="s">
        <v>7</v>
      </c>
      <c r="B43" s="125"/>
      <c r="C43" s="124"/>
      <c r="D43" s="131">
        <f>SUM(D41:D42)</f>
        <v>10.3</v>
      </c>
      <c r="E43" s="135">
        <f>SUM(E41:E42)</f>
        <v>272.74</v>
      </c>
    </row>
    <row r="44" spans="1:6">
      <c r="A44" s="127"/>
      <c r="B44" s="125"/>
      <c r="C44" s="124"/>
      <c r="D44" s="131"/>
      <c r="E44" s="135"/>
    </row>
    <row r="45" spans="1:6">
      <c r="A45" s="124" t="s">
        <v>480</v>
      </c>
      <c r="B45" s="125" t="s">
        <v>240</v>
      </c>
      <c r="C45" s="124" t="s">
        <v>241</v>
      </c>
      <c r="D45" s="126">
        <v>1.18</v>
      </c>
      <c r="E45" s="134">
        <v>38.39</v>
      </c>
    </row>
    <row r="46" spans="1:6">
      <c r="A46" s="127" t="s">
        <v>7</v>
      </c>
      <c r="B46" s="125"/>
      <c r="C46" s="124"/>
      <c r="D46" s="131">
        <f>SUM(D45)</f>
        <v>1.18</v>
      </c>
      <c r="E46" s="135">
        <f>SUM(E45)</f>
        <v>38.39</v>
      </c>
    </row>
    <row r="47" spans="1:6">
      <c r="A47" s="127"/>
      <c r="B47" s="125"/>
      <c r="C47" s="124"/>
      <c r="D47" s="131"/>
      <c r="E47" s="135"/>
    </row>
    <row r="48" spans="1:6">
      <c r="A48" s="124" t="s">
        <v>459</v>
      </c>
      <c r="B48" s="125" t="s">
        <v>171</v>
      </c>
      <c r="C48" s="124" t="s">
        <v>25</v>
      </c>
      <c r="D48" s="126">
        <v>0.08</v>
      </c>
      <c r="E48" s="134">
        <v>2.63</v>
      </c>
    </row>
    <row r="49" spans="1:6">
      <c r="A49" s="124" t="s">
        <v>493</v>
      </c>
      <c r="B49" s="125" t="s">
        <v>171</v>
      </c>
      <c r="C49" s="124" t="s">
        <v>25</v>
      </c>
      <c r="D49" s="126">
        <v>0.7</v>
      </c>
      <c r="E49" s="134">
        <v>22.05</v>
      </c>
    </row>
    <row r="50" spans="1:6">
      <c r="A50" s="124" t="s">
        <v>512</v>
      </c>
      <c r="B50" s="125" t="s">
        <v>171</v>
      </c>
      <c r="C50" s="124" t="s">
        <v>25</v>
      </c>
      <c r="D50" s="126">
        <v>0.05</v>
      </c>
      <c r="E50" s="134">
        <v>1.58</v>
      </c>
    </row>
    <row r="51" spans="1:6">
      <c r="A51" s="124" t="s">
        <v>505</v>
      </c>
      <c r="B51" s="125" t="s">
        <v>171</v>
      </c>
      <c r="C51" s="124" t="s">
        <v>25</v>
      </c>
      <c r="D51" s="126">
        <v>7.0000000000000007E-2</v>
      </c>
      <c r="E51" s="134">
        <v>2.1</v>
      </c>
    </row>
    <row r="52" spans="1:6">
      <c r="A52" s="124" t="s">
        <v>500</v>
      </c>
      <c r="B52" s="125" t="s">
        <v>171</v>
      </c>
      <c r="C52" s="124" t="s">
        <v>25</v>
      </c>
      <c r="D52" s="126">
        <v>1.08</v>
      </c>
      <c r="E52" s="134">
        <v>32.5</v>
      </c>
    </row>
    <row r="53" spans="1:6">
      <c r="A53" s="124" t="s">
        <v>487</v>
      </c>
      <c r="B53" s="125" t="s">
        <v>171</v>
      </c>
      <c r="C53" s="124" t="s">
        <v>25</v>
      </c>
      <c r="D53" s="126">
        <v>0.02</v>
      </c>
      <c r="E53" s="134">
        <v>0.56000000000000005</v>
      </c>
    </row>
    <row r="54" spans="1:6">
      <c r="A54" s="124" t="s">
        <v>397</v>
      </c>
      <c r="B54" s="125" t="s">
        <v>171</v>
      </c>
      <c r="C54" s="124" t="s">
        <v>25</v>
      </c>
      <c r="D54" s="126">
        <v>0.03</v>
      </c>
      <c r="E54" s="134">
        <v>1.05</v>
      </c>
    </row>
    <row r="55" spans="1:6">
      <c r="A55" s="127" t="s">
        <v>7</v>
      </c>
      <c r="B55" s="124"/>
      <c r="C55" s="124"/>
      <c r="D55" s="131">
        <f>SUM(D48:D54)</f>
        <v>2.0299999999999998</v>
      </c>
      <c r="E55" s="135">
        <f>SUM(E48:E54)</f>
        <v>62.47</v>
      </c>
    </row>
    <row r="56" spans="1:6">
      <c r="A56" s="127"/>
      <c r="B56" s="124"/>
      <c r="C56" s="124"/>
      <c r="D56" s="131"/>
      <c r="E56" s="135"/>
    </row>
    <row r="57" spans="1:6">
      <c r="A57" s="124" t="s">
        <v>413</v>
      </c>
      <c r="B57" s="125" t="s">
        <v>172</v>
      </c>
      <c r="C57" s="124" t="s">
        <v>12</v>
      </c>
      <c r="D57" s="126">
        <v>0.13</v>
      </c>
      <c r="E57" s="134">
        <v>4.71</v>
      </c>
    </row>
    <row r="58" spans="1:6">
      <c r="A58" s="127" t="s">
        <v>7</v>
      </c>
      <c r="B58" s="124"/>
      <c r="C58" s="124"/>
      <c r="D58" s="131">
        <f>SUM(D57:D57)</f>
        <v>0.13</v>
      </c>
      <c r="E58" s="135">
        <f>SUM(E57:E57)</f>
        <v>4.71</v>
      </c>
    </row>
    <row r="59" spans="1:6">
      <c r="A59" s="127"/>
      <c r="B59" s="124"/>
      <c r="C59" s="124"/>
      <c r="D59" s="131"/>
      <c r="E59" s="135"/>
    </row>
    <row r="60" spans="1:6">
      <c r="A60" s="124" t="s">
        <v>529</v>
      </c>
      <c r="B60" s="124">
        <v>100051</v>
      </c>
      <c r="C60" s="124" t="s">
        <v>34</v>
      </c>
      <c r="D60" s="126">
        <v>1.45</v>
      </c>
      <c r="E60" s="134">
        <v>31.54</v>
      </c>
    </row>
    <row r="61" spans="1:6">
      <c r="A61" s="140" t="s">
        <v>37</v>
      </c>
      <c r="B61" s="141">
        <v>100051</v>
      </c>
      <c r="C61" s="140" t="s">
        <v>34</v>
      </c>
      <c r="D61" s="142">
        <v>24.82</v>
      </c>
      <c r="E61" s="143">
        <v>632.83000000000004</v>
      </c>
      <c r="F61" s="231" t="s">
        <v>508</v>
      </c>
    </row>
    <row r="62" spans="1:6">
      <c r="A62" s="127" t="s">
        <v>7</v>
      </c>
      <c r="B62" s="124"/>
      <c r="C62" s="124"/>
      <c r="D62" s="131">
        <f>SUM(D60:D61)</f>
        <v>26.27</v>
      </c>
      <c r="E62" s="135">
        <f>SUM(E60:E61)</f>
        <v>664.37</v>
      </c>
    </row>
    <row r="63" spans="1:6">
      <c r="A63" s="127"/>
      <c r="B63" s="124"/>
      <c r="C63" s="124"/>
      <c r="D63" s="131"/>
      <c r="E63" s="135"/>
    </row>
    <row r="64" spans="1:6">
      <c r="A64" s="140" t="s">
        <v>41</v>
      </c>
      <c r="B64" s="141">
        <v>550052</v>
      </c>
      <c r="C64" s="140" t="s">
        <v>518</v>
      </c>
      <c r="D64" s="142">
        <v>64.8</v>
      </c>
      <c r="E64" s="143">
        <v>1749.6</v>
      </c>
      <c r="F64" s="231" t="s">
        <v>508</v>
      </c>
    </row>
    <row r="65" spans="1:15">
      <c r="A65" s="127" t="s">
        <v>7</v>
      </c>
      <c r="B65" s="124"/>
      <c r="C65" s="124"/>
      <c r="D65" s="131">
        <f>SUM(D64)</f>
        <v>64.8</v>
      </c>
      <c r="E65" s="135">
        <f>SUM(E64)</f>
        <v>1749.6</v>
      </c>
    </row>
    <row r="66" spans="1:15">
      <c r="A66" s="127"/>
      <c r="B66" s="124"/>
      <c r="C66" s="124"/>
      <c r="D66" s="131"/>
      <c r="E66" s="135"/>
    </row>
    <row r="67" spans="1:15">
      <c r="A67" s="124" t="s">
        <v>369</v>
      </c>
      <c r="B67" s="124">
        <v>450044</v>
      </c>
      <c r="C67" s="124" t="s">
        <v>519</v>
      </c>
      <c r="D67" s="126">
        <v>3.22</v>
      </c>
      <c r="E67" s="134">
        <v>77.2</v>
      </c>
    </row>
    <row r="68" spans="1:15">
      <c r="A68" s="127" t="s">
        <v>7</v>
      </c>
      <c r="B68" s="124"/>
      <c r="C68" s="124"/>
      <c r="D68" s="131">
        <f>SUM(D67)</f>
        <v>3.22</v>
      </c>
      <c r="E68" s="135">
        <f>SUM(E67)</f>
        <v>77.2</v>
      </c>
    </row>
    <row r="69" spans="1:15">
      <c r="A69" s="127"/>
      <c r="B69" s="124"/>
      <c r="C69" s="124"/>
      <c r="D69" s="131"/>
      <c r="E69" s="135"/>
    </row>
    <row r="70" spans="1:15" ht="27.75" customHeight="1">
      <c r="A70" s="260" t="s">
        <v>282</v>
      </c>
      <c r="B70" s="260">
        <v>450048</v>
      </c>
      <c r="C70" s="260" t="s">
        <v>530</v>
      </c>
      <c r="D70" s="261">
        <v>10</v>
      </c>
      <c r="E70" s="262">
        <f>56.16+224.64</f>
        <v>280.79999999999995</v>
      </c>
      <c r="F70" s="231" t="s">
        <v>531</v>
      </c>
      <c r="I70" s="313" t="s">
        <v>532</v>
      </c>
      <c r="J70" s="313"/>
      <c r="K70" s="313"/>
      <c r="L70" s="313"/>
      <c r="M70" s="313"/>
      <c r="N70" s="313"/>
      <c r="O70" s="313"/>
    </row>
    <row r="71" spans="1:15">
      <c r="A71" s="127" t="s">
        <v>7</v>
      </c>
      <c r="B71" s="124"/>
      <c r="C71" s="124"/>
      <c r="D71" s="131">
        <f>SUM(D70)</f>
        <v>10</v>
      </c>
      <c r="E71" s="135">
        <f>SUM(E70)</f>
        <v>280.79999999999995</v>
      </c>
    </row>
    <row r="72" spans="1:15" ht="15">
      <c r="A72" s="127"/>
      <c r="B72" s="124"/>
      <c r="C72" s="124"/>
      <c r="D72" s="131"/>
      <c r="E72" s="135"/>
      <c r="J72" s="264" t="s">
        <v>533</v>
      </c>
    </row>
    <row r="73" spans="1:15" ht="15">
      <c r="A73" s="260" t="s">
        <v>534</v>
      </c>
      <c r="B73" s="263" t="s">
        <v>188</v>
      </c>
      <c r="C73" s="260" t="s">
        <v>315</v>
      </c>
      <c r="D73" s="261">
        <v>5</v>
      </c>
      <c r="E73" s="262">
        <v>105</v>
      </c>
      <c r="F73" s="231" t="s">
        <v>531</v>
      </c>
      <c r="J73" s="264" t="s">
        <v>535</v>
      </c>
    </row>
    <row r="74" spans="1:15" ht="15">
      <c r="A74" s="127" t="s">
        <v>7</v>
      </c>
      <c r="B74" s="124"/>
      <c r="C74" s="124"/>
      <c r="D74" s="131">
        <f>SUM(D73)</f>
        <v>5</v>
      </c>
      <c r="E74" s="135">
        <f>SUM(E73)</f>
        <v>105</v>
      </c>
      <c r="J74" s="264" t="s">
        <v>536</v>
      </c>
    </row>
    <row r="75" spans="1:15" ht="15">
      <c r="A75" s="127"/>
      <c r="B75" s="124"/>
      <c r="C75" s="124"/>
      <c r="D75" s="131"/>
      <c r="E75" s="135"/>
      <c r="J75" s="264" t="s">
        <v>537</v>
      </c>
    </row>
    <row r="76" spans="1:15" ht="15">
      <c r="A76" s="260" t="s">
        <v>427</v>
      </c>
      <c r="B76" s="260">
        <v>450051</v>
      </c>
      <c r="C76" s="260" t="s">
        <v>279</v>
      </c>
      <c r="D76" s="261">
        <v>10.98</v>
      </c>
      <c r="E76" s="262">
        <v>247.13</v>
      </c>
      <c r="F76" s="231" t="s">
        <v>531</v>
      </c>
      <c r="J76" s="264" t="s">
        <v>538</v>
      </c>
    </row>
    <row r="77" spans="1:15" ht="15">
      <c r="A77" s="127" t="s">
        <v>7</v>
      </c>
      <c r="B77" s="124"/>
      <c r="C77" s="124"/>
      <c r="D77" s="131">
        <f>SUM(D76)</f>
        <v>10.98</v>
      </c>
      <c r="E77" s="135">
        <f>SUM(E76)</f>
        <v>247.13</v>
      </c>
      <c r="J77" s="264" t="s">
        <v>539</v>
      </c>
    </row>
    <row r="78" spans="1:15" ht="15">
      <c r="A78" s="127"/>
      <c r="B78" s="124"/>
      <c r="C78" s="124"/>
      <c r="D78" s="131"/>
      <c r="E78" s="135"/>
      <c r="J78" s="264" t="s">
        <v>540</v>
      </c>
    </row>
    <row r="79" spans="1:15">
      <c r="A79" s="124" t="s">
        <v>475</v>
      </c>
      <c r="B79" s="124" t="s">
        <v>476</v>
      </c>
      <c r="C79" s="124" t="s">
        <v>477</v>
      </c>
      <c r="D79" s="126">
        <v>0.32</v>
      </c>
      <c r="E79" s="134">
        <v>11.42</v>
      </c>
    </row>
    <row r="80" spans="1:15">
      <c r="A80" s="127" t="s">
        <v>7</v>
      </c>
      <c r="B80" s="124"/>
      <c r="C80" s="124"/>
      <c r="D80" s="131">
        <f>SUM(D79)</f>
        <v>0.32</v>
      </c>
      <c r="E80" s="135">
        <f>SUM(E79)</f>
        <v>11.42</v>
      </c>
    </row>
    <row r="81" spans="1:5">
      <c r="A81" s="127"/>
      <c r="B81" s="124"/>
      <c r="C81" s="124"/>
      <c r="D81" s="131"/>
      <c r="E81" s="135"/>
    </row>
    <row r="82" spans="1:5">
      <c r="A82" s="122" t="s">
        <v>194</v>
      </c>
      <c r="B82" s="123"/>
      <c r="C82" s="123"/>
      <c r="D82" s="131">
        <f>D80+D77+D74+D71+D68+D65+D62+D58+D55+D46+D43+D39+D36+D32+D29+D18+D15+D12+D8</f>
        <v>233.26999999999998</v>
      </c>
      <c r="E82" s="131">
        <f>E80+E77+E74+E71+E68+E65+E62+E58+E55+E46+E43+E39+E36+E32+E29+E18+E15+E12+E8</f>
        <v>6362.2899999999991</v>
      </c>
    </row>
    <row r="83" spans="1:5">
      <c r="A83" s="230"/>
      <c r="D83" s="230"/>
      <c r="E83" s="255"/>
    </row>
    <row r="84" spans="1:5">
      <c r="E84" s="256"/>
    </row>
    <row r="85" spans="1:5">
      <c r="A85" s="230"/>
      <c r="D85" s="230"/>
      <c r="E85" s="257"/>
    </row>
    <row r="87" spans="1:5">
      <c r="E87" s="256"/>
    </row>
    <row r="88" spans="1:5">
      <c r="A88" s="230"/>
      <c r="D88" s="230"/>
      <c r="E88" s="257"/>
    </row>
    <row r="89" spans="1:5">
      <c r="A89" s="230"/>
      <c r="D89" s="230"/>
      <c r="E89" s="255"/>
    </row>
    <row r="90" spans="1:5">
      <c r="A90" s="230"/>
      <c r="D90" s="230"/>
      <c r="E90" s="259"/>
    </row>
  </sheetData>
  <mergeCells count="1">
    <mergeCell ref="I70:O70"/>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35D0-51FD-4FC6-AFA0-7009314731D6}">
  <dimension ref="A1:N80"/>
  <sheetViews>
    <sheetView topLeftCell="A41" workbookViewId="0">
      <selection activeCell="J61" sqref="J61"/>
    </sheetView>
  </sheetViews>
  <sheetFormatPr defaultRowHeight="12.75"/>
  <cols>
    <col min="1" max="1" width="19.5703125" bestFit="1" customWidth="1"/>
    <col min="2" max="2" width="22.7109375" bestFit="1" customWidth="1"/>
    <col min="3" max="3" width="28.42578125" bestFit="1" customWidth="1"/>
    <col min="4" max="4" width="19.28515625" customWidth="1"/>
    <col min="5" max="5" width="20.85546875" style="268" customWidth="1"/>
    <col min="8" max="8" width="9.7109375" bestFit="1" customWidth="1"/>
    <col min="9" max="9" width="14" customWidth="1"/>
    <col min="10" max="10" width="12" customWidth="1"/>
    <col min="11" max="11" width="12.85546875" customWidth="1"/>
    <col min="12" max="12" width="14.28515625" customWidth="1"/>
  </cols>
  <sheetData>
    <row r="1" spans="1:14" ht="16.5" customHeight="1">
      <c r="A1" s="270" t="s">
        <v>147</v>
      </c>
      <c r="B1" s="270" t="s">
        <v>148</v>
      </c>
      <c r="C1" s="270" t="s">
        <v>149</v>
      </c>
      <c r="D1" s="271" t="s">
        <v>150</v>
      </c>
      <c r="E1" s="269" t="s">
        <v>151</v>
      </c>
      <c r="H1" s="232" t="s">
        <v>259</v>
      </c>
      <c r="I1" s="233" t="s">
        <v>334</v>
      </c>
      <c r="J1" s="234" t="s">
        <v>260</v>
      </c>
      <c r="K1" s="235" t="s">
        <v>262</v>
      </c>
      <c r="L1" s="236" t="s">
        <v>261</v>
      </c>
      <c r="M1" s="231"/>
      <c r="N1" s="231"/>
    </row>
    <row r="2" spans="1:14">
      <c r="A2" s="124" t="s">
        <v>14</v>
      </c>
      <c r="B2" s="125" t="s">
        <v>152</v>
      </c>
      <c r="C2" s="124" t="s">
        <v>15</v>
      </c>
      <c r="D2" s="126">
        <v>0.25</v>
      </c>
      <c r="E2" s="265">
        <v>8.2799999999999994</v>
      </c>
      <c r="H2" s="238">
        <f>E17+E27+E29+E33+E42+E59+E62</f>
        <v>2290.37</v>
      </c>
      <c r="I2" s="239">
        <f>E7</f>
        <v>149.1</v>
      </c>
      <c r="J2" s="240">
        <v>0</v>
      </c>
      <c r="K2" s="241">
        <v>0</v>
      </c>
      <c r="L2" s="242">
        <f>E65+E68+E71</f>
        <v>974.11</v>
      </c>
      <c r="M2" s="231"/>
      <c r="N2" s="231"/>
    </row>
    <row r="3" spans="1:14">
      <c r="A3" s="124" t="s">
        <v>506</v>
      </c>
      <c r="B3" s="125" t="s">
        <v>152</v>
      </c>
      <c r="C3" s="124" t="s">
        <v>15</v>
      </c>
      <c r="D3" s="126">
        <v>0.75</v>
      </c>
      <c r="E3" s="265">
        <v>24.75</v>
      </c>
      <c r="H3" s="243"/>
      <c r="I3" s="231" t="s">
        <v>263</v>
      </c>
      <c r="J3" s="243"/>
      <c r="K3" s="243"/>
      <c r="L3" s="243"/>
      <c r="M3" s="231"/>
      <c r="N3" s="231"/>
    </row>
    <row r="4" spans="1:14">
      <c r="A4" s="124" t="s">
        <v>507</v>
      </c>
      <c r="B4" s="125" t="s">
        <v>152</v>
      </c>
      <c r="C4" s="124" t="s">
        <v>15</v>
      </c>
      <c r="D4" s="126">
        <v>0.3</v>
      </c>
      <c r="E4" s="265">
        <v>8.33</v>
      </c>
      <c r="H4" s="244"/>
      <c r="I4" s="244"/>
      <c r="J4" s="244"/>
      <c r="K4" s="244"/>
      <c r="L4" s="244"/>
      <c r="M4" s="231"/>
      <c r="N4" s="231"/>
    </row>
    <row r="5" spans="1:14">
      <c r="A5" s="124" t="s">
        <v>389</v>
      </c>
      <c r="B5" s="125" t="s">
        <v>152</v>
      </c>
      <c r="C5" s="124" t="s">
        <v>15</v>
      </c>
      <c r="D5" s="126">
        <v>0.37</v>
      </c>
      <c r="E5" s="265">
        <v>11.58</v>
      </c>
      <c r="H5" s="231"/>
      <c r="I5" s="231" t="s">
        <v>461</v>
      </c>
      <c r="J5" s="231"/>
      <c r="K5" s="231"/>
      <c r="L5" s="231"/>
      <c r="M5" s="231"/>
      <c r="N5" s="231"/>
    </row>
    <row r="6" spans="1:14" ht="15">
      <c r="A6" s="124" t="s">
        <v>434</v>
      </c>
      <c r="B6" s="125">
        <v>400020</v>
      </c>
      <c r="C6" s="124" t="s">
        <v>98</v>
      </c>
      <c r="D6" s="126">
        <v>0.42</v>
      </c>
      <c r="E6" s="265">
        <v>13.39</v>
      </c>
      <c r="H6" s="231"/>
      <c r="I6" s="247" t="s">
        <v>454</v>
      </c>
      <c r="J6" s="231"/>
      <c r="K6" s="231"/>
      <c r="L6" s="231"/>
      <c r="M6" s="231"/>
      <c r="N6" s="231"/>
    </row>
    <row r="7" spans="1:14" ht="15">
      <c r="A7" s="272" t="s">
        <v>496</v>
      </c>
      <c r="B7" s="273" t="s">
        <v>152</v>
      </c>
      <c r="C7" s="272" t="s">
        <v>15</v>
      </c>
      <c r="D7" s="274">
        <v>4.7300000000000004</v>
      </c>
      <c r="E7" s="275">
        <v>149.1</v>
      </c>
      <c r="H7" s="231"/>
      <c r="I7" s="248" t="s">
        <v>455</v>
      </c>
      <c r="J7" s="231"/>
      <c r="K7" s="231"/>
      <c r="L7" s="231"/>
      <c r="M7" s="231"/>
      <c r="N7" s="231"/>
    </row>
    <row r="8" spans="1:14">
      <c r="A8" s="124" t="s">
        <v>377</v>
      </c>
      <c r="B8" s="125" t="s">
        <v>152</v>
      </c>
      <c r="C8" s="124" t="s">
        <v>15</v>
      </c>
      <c r="D8" s="126">
        <v>0.83</v>
      </c>
      <c r="E8" s="265">
        <v>27.88</v>
      </c>
    </row>
    <row r="9" spans="1:14">
      <c r="A9" s="124" t="s">
        <v>426</v>
      </c>
      <c r="B9" s="125" t="s">
        <v>152</v>
      </c>
      <c r="C9" s="124" t="s">
        <v>15</v>
      </c>
      <c r="D9" s="126">
        <v>0.45</v>
      </c>
      <c r="E9" s="265">
        <v>15.04</v>
      </c>
    </row>
    <row r="10" spans="1:14">
      <c r="A10" s="127" t="s">
        <v>7</v>
      </c>
      <c r="B10" s="124"/>
      <c r="C10" s="124"/>
      <c r="D10" s="131">
        <f>SUM(D2:D9)</f>
        <v>8.1</v>
      </c>
      <c r="E10" s="266">
        <f>SUM(E2:E9)</f>
        <v>258.35000000000002</v>
      </c>
    </row>
    <row r="11" spans="1:14">
      <c r="A11" s="127"/>
      <c r="B11" s="124"/>
      <c r="C11" s="124"/>
      <c r="D11" s="131"/>
      <c r="E11" s="266"/>
    </row>
    <row r="12" spans="1:14">
      <c r="A12" s="124" t="s">
        <v>307</v>
      </c>
      <c r="B12" s="125">
        <v>100035</v>
      </c>
      <c r="C12" s="124" t="s">
        <v>332</v>
      </c>
      <c r="D12" s="126">
        <v>0.48</v>
      </c>
      <c r="E12" s="265">
        <v>19.28</v>
      </c>
    </row>
    <row r="13" spans="1:14">
      <c r="A13" s="124" t="s">
        <v>488</v>
      </c>
      <c r="B13" s="125" t="s">
        <v>154</v>
      </c>
      <c r="C13" s="124" t="s">
        <v>23</v>
      </c>
      <c r="D13" s="126">
        <v>0.25</v>
      </c>
      <c r="E13" s="265">
        <v>9.3800000000000008</v>
      </c>
    </row>
    <row r="14" spans="1:14">
      <c r="A14" s="124" t="s">
        <v>494</v>
      </c>
      <c r="B14" s="125">
        <v>400035</v>
      </c>
      <c r="C14" s="124" t="s">
        <v>541</v>
      </c>
      <c r="D14" s="126">
        <v>0.02</v>
      </c>
      <c r="E14" s="265">
        <v>0.65</v>
      </c>
    </row>
    <row r="15" spans="1:14">
      <c r="A15" s="127" t="s">
        <v>7</v>
      </c>
      <c r="B15" s="124"/>
      <c r="C15" s="124"/>
      <c r="D15" s="131">
        <f>SUM(D12:D14)</f>
        <v>0.75</v>
      </c>
      <c r="E15" s="266">
        <f>SUM(E12:E14)</f>
        <v>29.310000000000002</v>
      </c>
    </row>
    <row r="16" spans="1:14">
      <c r="A16" s="127"/>
      <c r="B16" s="125"/>
      <c r="C16" s="124"/>
      <c r="D16" s="131"/>
      <c r="E16" s="266"/>
    </row>
    <row r="17" spans="1:6">
      <c r="A17" s="140" t="s">
        <v>335</v>
      </c>
      <c r="B17" s="141" t="s">
        <v>156</v>
      </c>
      <c r="C17" s="140" t="s">
        <v>91</v>
      </c>
      <c r="D17" s="142">
        <v>6.17</v>
      </c>
      <c r="E17" s="276">
        <v>192.4</v>
      </c>
      <c r="F17" t="s">
        <v>508</v>
      </c>
    </row>
    <row r="18" spans="1:6">
      <c r="A18" s="127" t="s">
        <v>7</v>
      </c>
      <c r="B18" s="124"/>
      <c r="C18" s="124"/>
      <c r="D18" s="131">
        <f>SUM(D17:D17)</f>
        <v>6.17</v>
      </c>
      <c r="E18" s="266">
        <f>SUM(E17:E17)</f>
        <v>192.4</v>
      </c>
    </row>
    <row r="19" spans="1:6">
      <c r="A19" s="124"/>
      <c r="B19" s="124"/>
      <c r="C19" s="124"/>
      <c r="D19" s="126"/>
      <c r="E19" s="265"/>
    </row>
    <row r="20" spans="1:6">
      <c r="A20" s="124" t="s">
        <v>523</v>
      </c>
      <c r="B20" s="125" t="s">
        <v>157</v>
      </c>
      <c r="C20" s="124" t="s">
        <v>66</v>
      </c>
      <c r="D20" s="126">
        <v>0.03</v>
      </c>
      <c r="E20" s="265">
        <v>0.78</v>
      </c>
    </row>
    <row r="21" spans="1:6">
      <c r="A21" s="124" t="s">
        <v>391</v>
      </c>
      <c r="B21" s="125" t="s">
        <v>157</v>
      </c>
      <c r="C21" s="124" t="s">
        <v>66</v>
      </c>
      <c r="D21" s="126">
        <v>0.22</v>
      </c>
      <c r="E21" s="265">
        <v>5.85</v>
      </c>
    </row>
    <row r="22" spans="1:6">
      <c r="A22" s="124" t="s">
        <v>509</v>
      </c>
      <c r="B22" s="125" t="s">
        <v>157</v>
      </c>
      <c r="C22" s="124" t="s">
        <v>66</v>
      </c>
      <c r="D22" s="126">
        <v>0.77</v>
      </c>
      <c r="E22" s="265">
        <v>18.399999999999999</v>
      </c>
    </row>
    <row r="23" spans="1:6">
      <c r="A23" s="124" t="s">
        <v>210</v>
      </c>
      <c r="B23" s="125" t="s">
        <v>157</v>
      </c>
      <c r="C23" s="124" t="s">
        <v>66</v>
      </c>
      <c r="D23" s="126">
        <v>0.5</v>
      </c>
      <c r="E23" s="265">
        <v>12.87</v>
      </c>
    </row>
    <row r="24" spans="1:6">
      <c r="A24" s="124" t="s">
        <v>472</v>
      </c>
      <c r="B24" s="125" t="s">
        <v>157</v>
      </c>
      <c r="C24" s="124" t="s">
        <v>66</v>
      </c>
      <c r="D24" s="126">
        <v>1.37</v>
      </c>
      <c r="E24" s="265">
        <v>32.799999999999997</v>
      </c>
    </row>
    <row r="25" spans="1:6">
      <c r="A25" s="124" t="s">
        <v>267</v>
      </c>
      <c r="B25" s="125" t="s">
        <v>157</v>
      </c>
      <c r="C25" s="124" t="s">
        <v>66</v>
      </c>
      <c r="D25" s="126">
        <v>1</v>
      </c>
      <c r="E25" s="265">
        <v>25.74</v>
      </c>
    </row>
    <row r="26" spans="1:6">
      <c r="A26" s="124" t="s">
        <v>473</v>
      </c>
      <c r="B26" s="125" t="s">
        <v>157</v>
      </c>
      <c r="C26" s="124" t="s">
        <v>66</v>
      </c>
      <c r="D26" s="126">
        <v>7.0000000000000007E-2</v>
      </c>
      <c r="E26" s="265">
        <v>1.55</v>
      </c>
    </row>
    <row r="27" spans="1:6">
      <c r="A27" s="148" t="s">
        <v>328</v>
      </c>
      <c r="B27" s="149" t="s">
        <v>157</v>
      </c>
      <c r="C27" s="148" t="s">
        <v>66</v>
      </c>
      <c r="D27" s="150">
        <v>4.83</v>
      </c>
      <c r="E27" s="276">
        <v>131.94999999999999</v>
      </c>
      <c r="F27" t="s">
        <v>508</v>
      </c>
    </row>
    <row r="28" spans="1:6">
      <c r="A28" s="123" t="s">
        <v>270</v>
      </c>
      <c r="B28" s="132" t="s">
        <v>157</v>
      </c>
      <c r="C28" s="123" t="s">
        <v>66</v>
      </c>
      <c r="D28" s="133">
        <v>1.7</v>
      </c>
      <c r="E28" s="265">
        <v>51.2</v>
      </c>
    </row>
    <row r="29" spans="1:6">
      <c r="A29" s="148" t="s">
        <v>79</v>
      </c>
      <c r="B29" s="149" t="s">
        <v>157</v>
      </c>
      <c r="C29" s="148" t="s">
        <v>66</v>
      </c>
      <c r="D29" s="148">
        <v>4.87</v>
      </c>
      <c r="E29" s="276">
        <v>121.47</v>
      </c>
      <c r="F29" t="s">
        <v>508</v>
      </c>
    </row>
    <row r="30" spans="1:6">
      <c r="A30" s="123" t="s">
        <v>516</v>
      </c>
      <c r="B30" s="132" t="s">
        <v>157</v>
      </c>
      <c r="C30" s="123" t="s">
        <v>66</v>
      </c>
      <c r="D30" s="123">
        <v>0.48</v>
      </c>
      <c r="E30" s="265">
        <v>11.24</v>
      </c>
    </row>
    <row r="31" spans="1:6">
      <c r="A31" s="127" t="s">
        <v>7</v>
      </c>
      <c r="B31" s="124"/>
      <c r="C31" s="124"/>
      <c r="D31" s="135">
        <f>SUM(D20:D30)</f>
        <v>15.84</v>
      </c>
      <c r="E31" s="266">
        <f>SUM(E20:E30)</f>
        <v>413.85</v>
      </c>
    </row>
    <row r="32" spans="1:6">
      <c r="A32" s="127"/>
      <c r="B32" s="124"/>
      <c r="C32" s="124"/>
      <c r="D32" s="131"/>
      <c r="E32" s="266"/>
    </row>
    <row r="33" spans="1:6">
      <c r="A33" s="140" t="s">
        <v>163</v>
      </c>
      <c r="B33" s="141" t="s">
        <v>162</v>
      </c>
      <c r="C33" s="140" t="s">
        <v>51</v>
      </c>
      <c r="D33" s="142">
        <v>10</v>
      </c>
      <c r="E33" s="276">
        <v>330</v>
      </c>
      <c r="F33" t="s">
        <v>508</v>
      </c>
    </row>
    <row r="34" spans="1:6">
      <c r="A34" s="127" t="s">
        <v>7</v>
      </c>
      <c r="B34" s="125"/>
      <c r="C34" s="124"/>
      <c r="D34" s="131">
        <f>SUM(D33:D33)</f>
        <v>10</v>
      </c>
      <c r="E34" s="266">
        <f>SUM(E33:E33)</f>
        <v>330</v>
      </c>
    </row>
    <row r="35" spans="1:6">
      <c r="A35" s="127"/>
      <c r="B35" s="124"/>
      <c r="C35" s="124"/>
      <c r="D35" s="131"/>
      <c r="E35" s="266"/>
    </row>
    <row r="36" spans="1:6">
      <c r="A36" s="124" t="s">
        <v>64</v>
      </c>
      <c r="B36" s="125" t="s">
        <v>164</v>
      </c>
      <c r="C36" s="124" t="s">
        <v>60</v>
      </c>
      <c r="D36" s="126">
        <v>2.75</v>
      </c>
      <c r="E36" s="265">
        <v>61.88</v>
      </c>
    </row>
    <row r="37" spans="1:6">
      <c r="A37" s="127" t="s">
        <v>7</v>
      </c>
      <c r="B37" s="124"/>
      <c r="C37" s="124"/>
      <c r="D37" s="131">
        <f>SUM(D36:D36)</f>
        <v>2.75</v>
      </c>
      <c r="E37" s="266">
        <f>SUM(E36:E36)</f>
        <v>61.88</v>
      </c>
    </row>
    <row r="38" spans="1:6">
      <c r="A38" s="127"/>
      <c r="B38" s="124"/>
      <c r="C38" s="124"/>
      <c r="D38" s="131"/>
      <c r="E38" s="266"/>
    </row>
    <row r="39" spans="1:6">
      <c r="A39" s="124" t="s">
        <v>528</v>
      </c>
      <c r="B39" s="125" t="s">
        <v>165</v>
      </c>
      <c r="C39" s="124" t="s">
        <v>45</v>
      </c>
      <c r="D39" s="126">
        <v>0.32</v>
      </c>
      <c r="E39" s="265">
        <v>8.08</v>
      </c>
    </row>
    <row r="40" spans="1:6">
      <c r="A40" s="127" t="s">
        <v>7</v>
      </c>
      <c r="B40" s="124"/>
      <c r="C40" s="124"/>
      <c r="D40" s="131">
        <f>SUM(D39)</f>
        <v>0.32</v>
      </c>
      <c r="E40" s="266">
        <f>SUM(E39)</f>
        <v>8.08</v>
      </c>
    </row>
    <row r="41" spans="1:6">
      <c r="A41" s="127"/>
      <c r="B41" s="124"/>
      <c r="C41" s="124"/>
      <c r="D41" s="131"/>
      <c r="E41" s="266"/>
    </row>
    <row r="42" spans="1:6">
      <c r="A42" s="140" t="s">
        <v>292</v>
      </c>
      <c r="B42" s="141" t="s">
        <v>167</v>
      </c>
      <c r="C42" s="140" t="s">
        <v>54</v>
      </c>
      <c r="D42" s="142">
        <v>5.8</v>
      </c>
      <c r="E42" s="276">
        <v>152.25</v>
      </c>
      <c r="F42" t="s">
        <v>508</v>
      </c>
    </row>
    <row r="43" spans="1:6">
      <c r="A43" s="127" t="s">
        <v>7</v>
      </c>
      <c r="B43" s="125"/>
      <c r="C43" s="124"/>
      <c r="D43" s="131">
        <f>SUM(D42:D42)</f>
        <v>5.8</v>
      </c>
      <c r="E43" s="266">
        <f>SUM(E42:E42)</f>
        <v>152.25</v>
      </c>
    </row>
    <row r="44" spans="1:6">
      <c r="A44" s="127"/>
      <c r="B44" s="125"/>
      <c r="C44" s="124"/>
      <c r="D44" s="131"/>
      <c r="E44" s="266"/>
    </row>
    <row r="45" spans="1:6">
      <c r="A45" s="124" t="s">
        <v>459</v>
      </c>
      <c r="B45" s="125" t="s">
        <v>171</v>
      </c>
      <c r="C45" s="124" t="s">
        <v>25</v>
      </c>
      <c r="D45" s="126">
        <v>0.08</v>
      </c>
      <c r="E45" s="265">
        <v>2.63</v>
      </c>
    </row>
    <row r="46" spans="1:6">
      <c r="A46" s="124" t="s">
        <v>493</v>
      </c>
      <c r="B46" s="125" t="s">
        <v>171</v>
      </c>
      <c r="C46" s="124" t="s">
        <v>25</v>
      </c>
      <c r="D46" s="126">
        <v>0.53</v>
      </c>
      <c r="E46" s="265">
        <v>16.8</v>
      </c>
    </row>
    <row r="47" spans="1:6">
      <c r="A47" s="124" t="s">
        <v>512</v>
      </c>
      <c r="B47" s="125" t="s">
        <v>171</v>
      </c>
      <c r="C47" s="124" t="s">
        <v>25</v>
      </c>
      <c r="D47" s="126">
        <v>0.33</v>
      </c>
      <c r="E47" s="265">
        <v>10.5</v>
      </c>
    </row>
    <row r="48" spans="1:6">
      <c r="A48" s="124" t="s">
        <v>513</v>
      </c>
      <c r="B48" s="125" t="s">
        <v>171</v>
      </c>
      <c r="C48" s="124" t="s">
        <v>25</v>
      </c>
      <c r="D48" s="126">
        <v>0.05</v>
      </c>
      <c r="E48" s="265">
        <v>1.58</v>
      </c>
    </row>
    <row r="49" spans="1:6">
      <c r="A49" s="124" t="s">
        <v>505</v>
      </c>
      <c r="B49" s="125" t="s">
        <v>171</v>
      </c>
      <c r="C49" s="124" t="s">
        <v>25</v>
      </c>
      <c r="D49" s="126">
        <v>7.0000000000000007E-2</v>
      </c>
      <c r="E49" s="265">
        <v>2.1</v>
      </c>
    </row>
    <row r="50" spans="1:6">
      <c r="A50" s="124" t="s">
        <v>500</v>
      </c>
      <c r="B50" s="125" t="s">
        <v>171</v>
      </c>
      <c r="C50" s="124" t="s">
        <v>25</v>
      </c>
      <c r="D50" s="126">
        <v>0.5</v>
      </c>
      <c r="E50" s="265">
        <v>15</v>
      </c>
    </row>
    <row r="51" spans="1:6">
      <c r="A51" s="124" t="s">
        <v>487</v>
      </c>
      <c r="B51" s="125" t="s">
        <v>171</v>
      </c>
      <c r="C51" s="124" t="s">
        <v>25</v>
      </c>
      <c r="D51" s="126">
        <v>0.5</v>
      </c>
      <c r="E51" s="265">
        <v>16.88</v>
      </c>
    </row>
    <row r="52" spans="1:6">
      <c r="A52" s="124" t="s">
        <v>397</v>
      </c>
      <c r="B52" s="125" t="s">
        <v>171</v>
      </c>
      <c r="C52" s="124" t="s">
        <v>25</v>
      </c>
      <c r="D52" s="126">
        <v>0.25</v>
      </c>
      <c r="E52" s="265">
        <v>7.91</v>
      </c>
    </row>
    <row r="53" spans="1:6">
      <c r="A53" s="127" t="s">
        <v>7</v>
      </c>
      <c r="B53" s="124"/>
      <c r="C53" s="124"/>
      <c r="D53" s="131">
        <f>SUM(D45:D52)</f>
        <v>2.31</v>
      </c>
      <c r="E53" s="266">
        <f>SUM(E45:E52)</f>
        <v>73.399999999999991</v>
      </c>
    </row>
    <row r="54" spans="1:6">
      <c r="A54" s="127"/>
      <c r="B54" s="124"/>
      <c r="C54" s="124"/>
      <c r="D54" s="131"/>
      <c r="E54" s="266"/>
    </row>
    <row r="55" spans="1:6">
      <c r="A55" s="124" t="s">
        <v>542</v>
      </c>
      <c r="B55" s="125" t="s">
        <v>172</v>
      </c>
      <c r="C55" s="124" t="s">
        <v>12</v>
      </c>
      <c r="D55" s="126">
        <v>0.2</v>
      </c>
      <c r="E55" s="265">
        <v>6.6</v>
      </c>
    </row>
    <row r="56" spans="1:6">
      <c r="A56" s="124" t="s">
        <v>413</v>
      </c>
      <c r="B56" s="125" t="s">
        <v>172</v>
      </c>
      <c r="C56" s="124" t="s">
        <v>12</v>
      </c>
      <c r="D56" s="126">
        <v>1.3</v>
      </c>
      <c r="E56" s="265">
        <v>45.88</v>
      </c>
    </row>
    <row r="57" spans="1:6">
      <c r="A57" s="127" t="s">
        <v>7</v>
      </c>
      <c r="B57" s="124"/>
      <c r="C57" s="124"/>
      <c r="D57" s="131">
        <f>SUM(D55:D56)</f>
        <v>1.5</v>
      </c>
      <c r="E57" s="266">
        <f>SUM(E55:E56)</f>
        <v>52.480000000000004</v>
      </c>
    </row>
    <row r="58" spans="1:6">
      <c r="A58" s="127"/>
      <c r="B58" s="124"/>
      <c r="C58" s="124"/>
      <c r="D58" s="131"/>
      <c r="E58" s="266"/>
    </row>
    <row r="59" spans="1:6">
      <c r="A59" s="140" t="s">
        <v>213</v>
      </c>
      <c r="B59" s="140">
        <v>100051</v>
      </c>
      <c r="C59" s="140" t="s">
        <v>34</v>
      </c>
      <c r="D59" s="142">
        <v>4</v>
      </c>
      <c r="E59" s="276">
        <v>96</v>
      </c>
      <c r="F59" t="s">
        <v>508</v>
      </c>
    </row>
    <row r="60" spans="1:6">
      <c r="A60" s="127" t="s">
        <v>7</v>
      </c>
      <c r="B60" s="124"/>
      <c r="C60" s="124"/>
      <c r="D60" s="131">
        <f>SUM(D59:D59)</f>
        <v>4</v>
      </c>
      <c r="E60" s="266">
        <f>SUM(E59:E59)</f>
        <v>96</v>
      </c>
    </row>
    <row r="61" spans="1:6">
      <c r="A61" s="127"/>
      <c r="B61" s="124"/>
      <c r="C61" s="124"/>
      <c r="D61" s="131"/>
      <c r="E61" s="266"/>
    </row>
    <row r="62" spans="1:6">
      <c r="A62" s="140" t="s">
        <v>41</v>
      </c>
      <c r="B62" s="141">
        <v>550052</v>
      </c>
      <c r="C62" s="140" t="s">
        <v>518</v>
      </c>
      <c r="D62" s="142">
        <v>46.9</v>
      </c>
      <c r="E62" s="276">
        <v>1266.3</v>
      </c>
      <c r="F62" t="s">
        <v>508</v>
      </c>
    </row>
    <row r="63" spans="1:6">
      <c r="A63" s="127" t="s">
        <v>7</v>
      </c>
      <c r="B63" s="124"/>
      <c r="C63" s="124"/>
      <c r="D63" s="131">
        <f>SUM(D62)</f>
        <v>46.9</v>
      </c>
      <c r="E63" s="266">
        <f>SUM(E62)</f>
        <v>1266.3</v>
      </c>
    </row>
    <row r="64" spans="1:6">
      <c r="A64" s="127"/>
      <c r="B64" s="124"/>
      <c r="C64" s="124"/>
      <c r="D64" s="131"/>
      <c r="E64" s="266"/>
    </row>
    <row r="65" spans="1:7">
      <c r="A65" s="151" t="s">
        <v>369</v>
      </c>
      <c r="B65" s="151">
        <v>450044</v>
      </c>
      <c r="C65" s="151" t="s">
        <v>519</v>
      </c>
      <c r="D65" s="152">
        <v>6.9</v>
      </c>
      <c r="E65" s="277">
        <v>165.6</v>
      </c>
      <c r="F65" t="s">
        <v>508</v>
      </c>
    </row>
    <row r="66" spans="1:7">
      <c r="A66" s="127" t="s">
        <v>7</v>
      </c>
      <c r="B66" s="124"/>
      <c r="C66" s="124"/>
      <c r="D66" s="131">
        <f>SUM(D65)</f>
        <v>6.9</v>
      </c>
      <c r="E66" s="266">
        <f>SUM(E65)</f>
        <v>165.6</v>
      </c>
    </row>
    <row r="67" spans="1:7">
      <c r="A67" s="127"/>
      <c r="B67" s="124"/>
      <c r="C67" s="124"/>
      <c r="D67" s="131"/>
      <c r="E67" s="266"/>
    </row>
    <row r="68" spans="1:7">
      <c r="A68" s="151" t="s">
        <v>282</v>
      </c>
      <c r="B68" s="151">
        <v>450048</v>
      </c>
      <c r="C68" s="151" t="s">
        <v>530</v>
      </c>
      <c r="D68" s="152">
        <v>8.27</v>
      </c>
      <c r="E68" s="277">
        <v>232.13</v>
      </c>
      <c r="F68" t="s">
        <v>508</v>
      </c>
      <c r="G68" t="s">
        <v>543</v>
      </c>
    </row>
    <row r="69" spans="1:7">
      <c r="A69" s="127" t="s">
        <v>7</v>
      </c>
      <c r="B69" s="124"/>
      <c r="C69" s="124"/>
      <c r="D69" s="131">
        <f>SUM(D68)</f>
        <v>8.27</v>
      </c>
      <c r="E69" s="266">
        <f>SUM(E68)</f>
        <v>232.13</v>
      </c>
    </row>
    <row r="70" spans="1:7">
      <c r="A70" s="127"/>
      <c r="B70" s="124"/>
      <c r="C70" s="124"/>
      <c r="D70" s="131"/>
      <c r="E70" s="266"/>
    </row>
    <row r="71" spans="1:7">
      <c r="A71" s="151" t="s">
        <v>427</v>
      </c>
      <c r="B71" s="151">
        <v>450051</v>
      </c>
      <c r="C71" s="151" t="s">
        <v>279</v>
      </c>
      <c r="D71" s="152">
        <v>25.61</v>
      </c>
      <c r="E71" s="277">
        <v>576.38</v>
      </c>
      <c r="F71" t="s">
        <v>508</v>
      </c>
      <c r="G71" t="s">
        <v>544</v>
      </c>
    </row>
    <row r="72" spans="1:7">
      <c r="A72" s="127" t="s">
        <v>7</v>
      </c>
      <c r="B72" s="124"/>
      <c r="C72" s="124"/>
      <c r="D72" s="131">
        <f>SUM(D71)</f>
        <v>25.61</v>
      </c>
      <c r="E72" s="266">
        <f>SUM(E71)</f>
        <v>576.38</v>
      </c>
    </row>
    <row r="73" spans="1:7">
      <c r="A73" s="127"/>
      <c r="B73" s="124"/>
      <c r="C73" s="124"/>
      <c r="D73" s="131"/>
      <c r="E73" s="266"/>
    </row>
    <row r="74" spans="1:7">
      <c r="A74" s="124" t="s">
        <v>122</v>
      </c>
      <c r="B74" s="124">
        <v>550051</v>
      </c>
      <c r="C74" s="124" t="s">
        <v>526</v>
      </c>
      <c r="D74" s="126">
        <v>0.33</v>
      </c>
      <c r="E74" s="265">
        <v>6</v>
      </c>
    </row>
    <row r="75" spans="1:7">
      <c r="A75" s="127" t="s">
        <v>7</v>
      </c>
      <c r="B75" s="124"/>
      <c r="C75" s="124"/>
      <c r="D75" s="131">
        <f>SUM(D74)</f>
        <v>0.33</v>
      </c>
      <c r="E75" s="266">
        <f>SUM(E74)</f>
        <v>6</v>
      </c>
    </row>
    <row r="76" spans="1:7">
      <c r="A76" s="127"/>
      <c r="B76" s="124"/>
      <c r="C76" s="124"/>
      <c r="D76" s="131"/>
      <c r="E76" s="266"/>
    </row>
    <row r="77" spans="1:7">
      <c r="A77" s="124" t="s">
        <v>475</v>
      </c>
      <c r="B77" s="124" t="s">
        <v>476</v>
      </c>
      <c r="C77" s="124" t="s">
        <v>477</v>
      </c>
      <c r="D77" s="126">
        <v>1.5</v>
      </c>
      <c r="E77" s="265">
        <v>54.09</v>
      </c>
    </row>
    <row r="78" spans="1:7">
      <c r="A78" s="127" t="s">
        <v>7</v>
      </c>
      <c r="B78" s="124"/>
      <c r="C78" s="124"/>
      <c r="D78" s="131">
        <f>SUM(D77)</f>
        <v>1.5</v>
      </c>
      <c r="E78" s="266">
        <f>SUM(E77)</f>
        <v>54.09</v>
      </c>
    </row>
    <row r="79" spans="1:7">
      <c r="A79" s="127"/>
      <c r="B79" s="124"/>
      <c r="C79" s="124"/>
      <c r="D79" s="131"/>
      <c r="E79" s="266"/>
    </row>
    <row r="80" spans="1:7">
      <c r="A80" s="122" t="s">
        <v>194</v>
      </c>
      <c r="B80" s="123"/>
      <c r="C80" s="123"/>
      <c r="D80" s="131">
        <f>D78+D75+D72+D69+D66+D63+D60+D57+D53+D43+D40+D37+D34+D31+D18+D15+D10</f>
        <v>147.04999999999995</v>
      </c>
      <c r="E80" s="267">
        <f>E78+E75+E72+E69+E66+E63+E60+E57+E53+E43+E40+E37+E34+E31+E18+E15+E10</f>
        <v>3968.5</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91077-3492-4461-BBCA-FEDE2E6E1DB4}">
  <dimension ref="A1:K102"/>
  <sheetViews>
    <sheetView workbookViewId="0">
      <selection activeCell="F90" sqref="F90"/>
    </sheetView>
  </sheetViews>
  <sheetFormatPr defaultRowHeight="12.75"/>
  <cols>
    <col min="1" max="1" width="19.5703125" bestFit="1" customWidth="1"/>
    <col min="2" max="2" width="16" customWidth="1"/>
    <col min="3" max="3" width="34.28515625" bestFit="1" customWidth="1"/>
    <col min="4" max="4" width="20.28515625" bestFit="1" customWidth="1"/>
    <col min="5" max="5" width="23" style="155" bestFit="1" customWidth="1"/>
    <col min="7" max="7" width="12.5703125" customWidth="1"/>
    <col min="8" max="8" width="33" customWidth="1"/>
    <col min="10" max="10" width="10.140625" customWidth="1"/>
    <col min="11" max="11" width="11.140625" customWidth="1"/>
  </cols>
  <sheetData>
    <row r="1" spans="1:11">
      <c r="A1" s="122" t="s">
        <v>147</v>
      </c>
      <c r="B1" s="122" t="s">
        <v>148</v>
      </c>
      <c r="C1" s="122" t="s">
        <v>149</v>
      </c>
      <c r="D1" s="122" t="s">
        <v>150</v>
      </c>
      <c r="E1" s="154" t="s">
        <v>151</v>
      </c>
      <c r="G1" s="232" t="s">
        <v>259</v>
      </c>
      <c r="H1" s="233" t="s">
        <v>334</v>
      </c>
      <c r="I1" s="234" t="s">
        <v>260</v>
      </c>
      <c r="J1" s="235" t="s">
        <v>262</v>
      </c>
      <c r="K1" s="236" t="s">
        <v>261</v>
      </c>
    </row>
    <row r="2" spans="1:11">
      <c r="A2" s="124" t="s">
        <v>14</v>
      </c>
      <c r="B2" s="125" t="s">
        <v>152</v>
      </c>
      <c r="C2" s="124" t="s">
        <v>15</v>
      </c>
      <c r="D2" s="126">
        <v>0.23</v>
      </c>
      <c r="E2" s="134">
        <v>7.96</v>
      </c>
      <c r="G2" s="238">
        <f>E26+E29+E33+E38+E39+E42+E45+E46+E47+E54+E55+E56+E77+E80+E96</f>
        <v>5307.4099999999989</v>
      </c>
      <c r="H2" s="239">
        <v>0</v>
      </c>
      <c r="I2" s="240">
        <v>0</v>
      </c>
      <c r="J2" s="241">
        <v>0</v>
      </c>
      <c r="K2" s="242">
        <f>E83+E89</f>
        <v>367.90999999999997</v>
      </c>
    </row>
    <row r="3" spans="1:11">
      <c r="A3" s="124" t="s">
        <v>506</v>
      </c>
      <c r="B3" s="125" t="s">
        <v>152</v>
      </c>
      <c r="C3" s="124" t="s">
        <v>15</v>
      </c>
      <c r="D3" s="126">
        <v>0.52</v>
      </c>
      <c r="E3" s="134">
        <v>17.559999999999999</v>
      </c>
      <c r="G3" s="243"/>
      <c r="H3" s="231" t="s">
        <v>263</v>
      </c>
      <c r="I3" s="243"/>
      <c r="J3" s="243"/>
      <c r="K3" s="243"/>
    </row>
    <row r="4" spans="1:11">
      <c r="A4" s="124" t="s">
        <v>507</v>
      </c>
      <c r="B4" s="125" t="s">
        <v>152</v>
      </c>
      <c r="C4" s="124" t="s">
        <v>15</v>
      </c>
      <c r="D4" s="126">
        <v>0.25</v>
      </c>
      <c r="E4" s="134">
        <v>7.08</v>
      </c>
      <c r="G4" s="244"/>
      <c r="H4" s="244"/>
      <c r="I4" s="244"/>
      <c r="J4" s="244"/>
      <c r="K4" s="244"/>
    </row>
    <row r="5" spans="1:11">
      <c r="A5" s="124" t="s">
        <v>389</v>
      </c>
      <c r="B5" s="125" t="s">
        <v>152</v>
      </c>
      <c r="C5" s="124" t="s">
        <v>15</v>
      </c>
      <c r="D5" s="126">
        <v>0.73</v>
      </c>
      <c r="E5" s="134">
        <v>23.86</v>
      </c>
      <c r="G5" s="231"/>
      <c r="H5" s="231" t="s">
        <v>461</v>
      </c>
      <c r="I5" s="231"/>
      <c r="J5" s="231"/>
      <c r="K5" s="231"/>
    </row>
    <row r="6" spans="1:11" ht="15">
      <c r="A6" s="124" t="s">
        <v>434</v>
      </c>
      <c r="B6" s="125">
        <v>400020</v>
      </c>
      <c r="C6" s="124" t="s">
        <v>98</v>
      </c>
      <c r="D6" s="126">
        <v>2.15</v>
      </c>
      <c r="E6" s="134">
        <v>70.5</v>
      </c>
      <c r="G6" s="231"/>
      <c r="H6" s="247" t="s">
        <v>454</v>
      </c>
      <c r="I6" s="231"/>
      <c r="J6" s="231"/>
      <c r="K6" s="231"/>
    </row>
    <row r="7" spans="1:11" ht="15">
      <c r="A7" s="124" t="s">
        <v>545</v>
      </c>
      <c r="B7" s="125" t="s">
        <v>152</v>
      </c>
      <c r="C7" s="124" t="s">
        <v>15</v>
      </c>
      <c r="D7" s="126">
        <v>0.38</v>
      </c>
      <c r="E7" s="134">
        <v>11.5</v>
      </c>
      <c r="G7" s="231"/>
      <c r="H7" s="248" t="s">
        <v>455</v>
      </c>
      <c r="I7" s="231"/>
      <c r="J7" s="231"/>
      <c r="K7" s="231"/>
    </row>
    <row r="8" spans="1:11">
      <c r="A8" s="124" t="s">
        <v>496</v>
      </c>
      <c r="B8" s="125" t="s">
        <v>152</v>
      </c>
      <c r="C8" s="124" t="s">
        <v>15</v>
      </c>
      <c r="D8" s="126">
        <v>2.0299999999999998</v>
      </c>
      <c r="E8" s="134">
        <v>65.33</v>
      </c>
    </row>
    <row r="9" spans="1:11">
      <c r="A9" s="124" t="s">
        <v>377</v>
      </c>
      <c r="B9" s="125" t="s">
        <v>152</v>
      </c>
      <c r="C9" s="124" t="s">
        <v>15</v>
      </c>
      <c r="D9" s="126">
        <v>0.38</v>
      </c>
      <c r="E9" s="134">
        <v>13.21</v>
      </c>
    </row>
    <row r="10" spans="1:11">
      <c r="A10" s="124" t="s">
        <v>469</v>
      </c>
      <c r="B10" s="125" t="s">
        <v>152</v>
      </c>
      <c r="C10" s="124" t="s">
        <v>15</v>
      </c>
      <c r="D10" s="126">
        <v>0.17</v>
      </c>
      <c r="E10" s="134">
        <v>5.25</v>
      </c>
    </row>
    <row r="11" spans="1:11">
      <c r="A11" s="124" t="s">
        <v>426</v>
      </c>
      <c r="B11" s="125" t="s">
        <v>152</v>
      </c>
      <c r="C11" s="124" t="s">
        <v>15</v>
      </c>
      <c r="D11" s="126">
        <v>1.87</v>
      </c>
      <c r="E11" s="134">
        <v>64.260000000000005</v>
      </c>
    </row>
    <row r="12" spans="1:11">
      <c r="A12" s="127" t="s">
        <v>7</v>
      </c>
      <c r="B12" s="124"/>
      <c r="C12" s="124"/>
      <c r="D12" s="131">
        <f>SUM(D2:D11)</f>
        <v>8.7099999999999991</v>
      </c>
      <c r="E12" s="135">
        <f>SUM(E2:E11)</f>
        <v>286.51000000000005</v>
      </c>
    </row>
    <row r="13" spans="1:11">
      <c r="A13" s="127"/>
      <c r="B13" s="124"/>
      <c r="C13" s="124"/>
      <c r="D13" s="131"/>
      <c r="E13" s="135"/>
    </row>
    <row r="14" spans="1:11">
      <c r="A14" s="124" t="s">
        <v>307</v>
      </c>
      <c r="B14" s="125">
        <v>100035</v>
      </c>
      <c r="C14" s="124" t="s">
        <v>332</v>
      </c>
      <c r="D14" s="126">
        <v>2.92</v>
      </c>
      <c r="E14" s="134">
        <v>119.83</v>
      </c>
    </row>
    <row r="15" spans="1:11">
      <c r="A15" s="124" t="s">
        <v>501</v>
      </c>
      <c r="B15" s="125" t="s">
        <v>154</v>
      </c>
      <c r="C15" s="124" t="s">
        <v>23</v>
      </c>
      <c r="D15" s="126">
        <v>0.28000000000000003</v>
      </c>
      <c r="E15" s="134">
        <v>10.84</v>
      </c>
    </row>
    <row r="16" spans="1:11">
      <c r="A16" s="124" t="s">
        <v>488</v>
      </c>
      <c r="B16" s="125" t="s">
        <v>154</v>
      </c>
      <c r="C16" s="124" t="s">
        <v>23</v>
      </c>
      <c r="D16" s="126">
        <v>0.13</v>
      </c>
      <c r="E16" s="134">
        <v>5.0999999999999996</v>
      </c>
    </row>
    <row r="17" spans="1:7">
      <c r="A17" s="124" t="s">
        <v>494</v>
      </c>
      <c r="B17" s="125">
        <v>400035</v>
      </c>
      <c r="C17" s="124" t="s">
        <v>541</v>
      </c>
      <c r="D17" s="126">
        <v>0.6</v>
      </c>
      <c r="E17" s="134">
        <v>24.1</v>
      </c>
    </row>
    <row r="18" spans="1:7">
      <c r="A18" s="127" t="s">
        <v>7</v>
      </c>
      <c r="B18" s="124"/>
      <c r="C18" s="124"/>
      <c r="D18" s="131">
        <f>SUM(D14:D17)</f>
        <v>3.93</v>
      </c>
      <c r="E18" s="135">
        <f>SUM(E14:E17)</f>
        <v>159.86999999999998</v>
      </c>
    </row>
    <row r="19" spans="1:7">
      <c r="A19" s="127"/>
      <c r="B19" s="125"/>
      <c r="C19" s="124"/>
      <c r="D19" s="131"/>
      <c r="E19" s="135"/>
    </row>
    <row r="20" spans="1:7">
      <c r="A20" s="124" t="s">
        <v>471</v>
      </c>
      <c r="B20" s="125" t="s">
        <v>155</v>
      </c>
      <c r="C20" s="124" t="s">
        <v>196</v>
      </c>
      <c r="D20" s="126">
        <v>0.63</v>
      </c>
      <c r="E20" s="134">
        <v>22.29</v>
      </c>
    </row>
    <row r="21" spans="1:7">
      <c r="A21" s="127" t="s">
        <v>7</v>
      </c>
      <c r="B21" s="124"/>
      <c r="C21" s="124"/>
      <c r="D21" s="131">
        <f>SUM(D20)</f>
        <v>0.63</v>
      </c>
      <c r="E21" s="135">
        <f>SUM(E20)</f>
        <v>22.29</v>
      </c>
    </row>
    <row r="22" spans="1:7">
      <c r="A22" s="127"/>
      <c r="B22" s="125"/>
      <c r="C22" s="124"/>
      <c r="D22" s="131"/>
      <c r="E22" s="135"/>
    </row>
    <row r="23" spans="1:7">
      <c r="A23" s="124" t="s">
        <v>335</v>
      </c>
      <c r="B23" s="125" t="s">
        <v>156</v>
      </c>
      <c r="C23" s="124" t="s">
        <v>91</v>
      </c>
      <c r="D23" s="126">
        <v>2.0699999999999998</v>
      </c>
      <c r="E23" s="134">
        <v>66.400000000000006</v>
      </c>
    </row>
    <row r="24" spans="1:7">
      <c r="A24" s="127" t="s">
        <v>7</v>
      </c>
      <c r="B24" s="124"/>
      <c r="C24" s="124"/>
      <c r="D24" s="131">
        <f>SUM(D23:D23)</f>
        <v>2.0699999999999998</v>
      </c>
      <c r="E24" s="135">
        <f>SUM(E23:E23)</f>
        <v>66.400000000000006</v>
      </c>
    </row>
    <row r="25" spans="1:7">
      <c r="A25" s="124"/>
      <c r="B25" s="124"/>
      <c r="C25" s="124"/>
      <c r="D25" s="126"/>
      <c r="E25" s="134"/>
    </row>
    <row r="26" spans="1:7">
      <c r="A26" s="140" t="s">
        <v>523</v>
      </c>
      <c r="B26" s="141" t="s">
        <v>157</v>
      </c>
      <c r="C26" s="140" t="s">
        <v>66</v>
      </c>
      <c r="D26" s="142">
        <v>4.03</v>
      </c>
      <c r="E26" s="143">
        <v>93.78</v>
      </c>
      <c r="F26" t="s">
        <v>508</v>
      </c>
      <c r="G26" t="s">
        <v>546</v>
      </c>
    </row>
    <row r="27" spans="1:7">
      <c r="A27" s="124" t="s">
        <v>391</v>
      </c>
      <c r="B27" s="125" t="s">
        <v>157</v>
      </c>
      <c r="C27" s="124" t="s">
        <v>66</v>
      </c>
      <c r="D27" s="126">
        <v>0.25</v>
      </c>
      <c r="E27" s="134">
        <v>6.95</v>
      </c>
    </row>
    <row r="28" spans="1:7">
      <c r="A28" s="124" t="s">
        <v>492</v>
      </c>
      <c r="B28" s="125" t="s">
        <v>157</v>
      </c>
      <c r="C28" s="124" t="s">
        <v>66</v>
      </c>
      <c r="D28" s="126">
        <v>2.4500000000000002</v>
      </c>
      <c r="E28" s="134">
        <v>59.39</v>
      </c>
    </row>
    <row r="29" spans="1:7">
      <c r="A29" s="140" t="s">
        <v>228</v>
      </c>
      <c r="B29" s="141" t="s">
        <v>157</v>
      </c>
      <c r="C29" s="140" t="s">
        <v>66</v>
      </c>
      <c r="D29" s="142">
        <v>5.43</v>
      </c>
      <c r="E29" s="143">
        <v>144.01</v>
      </c>
      <c r="F29" t="s">
        <v>508</v>
      </c>
    </row>
    <row r="30" spans="1:7">
      <c r="A30" s="124" t="s">
        <v>509</v>
      </c>
      <c r="B30" s="125" t="s">
        <v>157</v>
      </c>
      <c r="C30" s="124" t="s">
        <v>66</v>
      </c>
      <c r="D30" s="126">
        <v>1.43</v>
      </c>
      <c r="E30" s="134">
        <v>35.090000000000003</v>
      </c>
    </row>
    <row r="31" spans="1:7">
      <c r="A31" s="124" t="s">
        <v>210</v>
      </c>
      <c r="B31" s="125" t="s">
        <v>157</v>
      </c>
      <c r="C31" s="124" t="s">
        <v>66</v>
      </c>
      <c r="D31" s="126">
        <v>0.48</v>
      </c>
      <c r="E31" s="134">
        <v>12.81</v>
      </c>
    </row>
    <row r="32" spans="1:7">
      <c r="A32" s="124" t="s">
        <v>472</v>
      </c>
      <c r="B32" s="125" t="s">
        <v>157</v>
      </c>
      <c r="C32" s="124" t="s">
        <v>66</v>
      </c>
      <c r="D32" s="126">
        <v>1.6</v>
      </c>
      <c r="E32" s="134">
        <v>39.549999999999997</v>
      </c>
    </row>
    <row r="33" spans="1:7">
      <c r="A33" s="140" t="s">
        <v>464</v>
      </c>
      <c r="B33" s="141" t="s">
        <v>157</v>
      </c>
      <c r="C33" s="140" t="s">
        <v>66</v>
      </c>
      <c r="D33" s="142">
        <v>4.0199999999999996</v>
      </c>
      <c r="E33" s="143">
        <v>105.44</v>
      </c>
      <c r="F33" t="s">
        <v>508</v>
      </c>
    </row>
    <row r="34" spans="1:7">
      <c r="A34" s="124" t="s">
        <v>407</v>
      </c>
      <c r="B34" s="125" t="s">
        <v>157</v>
      </c>
      <c r="C34" s="124" t="s">
        <v>66</v>
      </c>
      <c r="D34" s="126">
        <v>0.2</v>
      </c>
      <c r="E34" s="134">
        <v>5.15</v>
      </c>
    </row>
    <row r="35" spans="1:7">
      <c r="A35" s="123" t="s">
        <v>328</v>
      </c>
      <c r="B35" s="132" t="s">
        <v>157</v>
      </c>
      <c r="C35" s="123" t="s">
        <v>66</v>
      </c>
      <c r="D35" s="133">
        <v>2.95</v>
      </c>
      <c r="E35" s="134">
        <v>82.97</v>
      </c>
    </row>
    <row r="36" spans="1:7">
      <c r="A36" s="123" t="s">
        <v>270</v>
      </c>
      <c r="B36" s="132" t="s">
        <v>157</v>
      </c>
      <c r="C36" s="123" t="s">
        <v>66</v>
      </c>
      <c r="D36" s="133">
        <v>0.77</v>
      </c>
      <c r="E36" s="134">
        <v>23.55</v>
      </c>
    </row>
    <row r="37" spans="1:7">
      <c r="A37" s="123" t="s">
        <v>79</v>
      </c>
      <c r="B37" s="132" t="s">
        <v>157</v>
      </c>
      <c r="C37" s="123" t="s">
        <v>66</v>
      </c>
      <c r="D37" s="123">
        <v>3.95</v>
      </c>
      <c r="E37" s="134">
        <v>108.13</v>
      </c>
    </row>
    <row r="38" spans="1:7">
      <c r="A38" s="148" t="s">
        <v>375</v>
      </c>
      <c r="B38" s="149" t="s">
        <v>157</v>
      </c>
      <c r="C38" s="148" t="s">
        <v>66</v>
      </c>
      <c r="D38" s="148">
        <v>4.33</v>
      </c>
      <c r="E38" s="143">
        <v>117.2</v>
      </c>
      <c r="F38" t="s">
        <v>508</v>
      </c>
    </row>
    <row r="39" spans="1:7">
      <c r="A39" s="148" t="s">
        <v>516</v>
      </c>
      <c r="B39" s="149" t="s">
        <v>157</v>
      </c>
      <c r="C39" s="148" t="s">
        <v>66</v>
      </c>
      <c r="D39" s="150">
        <v>5</v>
      </c>
      <c r="E39" s="143">
        <v>118.58</v>
      </c>
      <c r="F39" t="s">
        <v>508</v>
      </c>
    </row>
    <row r="40" spans="1:7">
      <c r="A40" s="127" t="s">
        <v>7</v>
      </c>
      <c r="B40" s="124"/>
      <c r="C40" s="124"/>
      <c r="D40" s="131">
        <f>SUM(D26:D39)</f>
        <v>36.889999999999993</v>
      </c>
      <c r="E40" s="135">
        <f>SUM(E26:E39)</f>
        <v>952.6</v>
      </c>
    </row>
    <row r="41" spans="1:7">
      <c r="A41" s="127"/>
      <c r="B41" s="124"/>
      <c r="C41" s="124"/>
      <c r="D41" s="131"/>
      <c r="E41" s="135"/>
    </row>
    <row r="42" spans="1:7">
      <c r="A42" s="140" t="s">
        <v>163</v>
      </c>
      <c r="B42" s="141" t="s">
        <v>162</v>
      </c>
      <c r="C42" s="140" t="s">
        <v>51</v>
      </c>
      <c r="D42" s="142">
        <v>19.8</v>
      </c>
      <c r="E42" s="143">
        <v>679.54</v>
      </c>
      <c r="F42" t="s">
        <v>508</v>
      </c>
    </row>
    <row r="43" spans="1:7">
      <c r="A43" s="127" t="s">
        <v>7</v>
      </c>
      <c r="B43" s="125"/>
      <c r="C43" s="124"/>
      <c r="D43" s="131">
        <f>SUM(D42:D42)</f>
        <v>19.8</v>
      </c>
      <c r="E43" s="135">
        <f>SUM(E42:E42)</f>
        <v>679.54</v>
      </c>
    </row>
    <row r="44" spans="1:7">
      <c r="A44" s="127"/>
      <c r="B44" s="124"/>
      <c r="C44" s="124"/>
      <c r="D44" s="131"/>
      <c r="E44" s="135"/>
    </row>
    <row r="45" spans="1:7">
      <c r="A45" s="140" t="s">
        <v>203</v>
      </c>
      <c r="B45" s="141" t="s">
        <v>164</v>
      </c>
      <c r="C45" s="140" t="s">
        <v>60</v>
      </c>
      <c r="D45" s="142">
        <v>19.75</v>
      </c>
      <c r="E45" s="143">
        <v>462.15</v>
      </c>
      <c r="F45" t="s">
        <v>508</v>
      </c>
      <c r="G45" t="s">
        <v>547</v>
      </c>
    </row>
    <row r="46" spans="1:7">
      <c r="A46" s="140" t="s">
        <v>548</v>
      </c>
      <c r="B46" s="141" t="s">
        <v>164</v>
      </c>
      <c r="C46" s="140" t="s">
        <v>60</v>
      </c>
      <c r="D46" s="142">
        <v>5.63</v>
      </c>
      <c r="E46" s="143">
        <v>122.53</v>
      </c>
      <c r="F46" t="s">
        <v>508</v>
      </c>
    </row>
    <row r="47" spans="1:7">
      <c r="A47" s="140" t="s">
        <v>64</v>
      </c>
      <c r="B47" s="141" t="s">
        <v>164</v>
      </c>
      <c r="C47" s="140" t="s">
        <v>60</v>
      </c>
      <c r="D47" s="142">
        <v>18.57</v>
      </c>
      <c r="E47" s="143">
        <v>434.46</v>
      </c>
      <c r="F47" t="s">
        <v>508</v>
      </c>
    </row>
    <row r="48" spans="1:7">
      <c r="A48" s="127" t="s">
        <v>7</v>
      </c>
      <c r="B48" s="124"/>
      <c r="C48" s="124"/>
      <c r="D48" s="131">
        <f>SUM(D45:D47)</f>
        <v>43.95</v>
      </c>
      <c r="E48" s="135">
        <f>SUM(E45:E47)</f>
        <v>1019.1399999999999</v>
      </c>
    </row>
    <row r="49" spans="1:6">
      <c r="A49" s="127"/>
      <c r="B49" s="124"/>
      <c r="C49" s="124"/>
      <c r="D49" s="131"/>
      <c r="E49" s="135"/>
    </row>
    <row r="50" spans="1:6">
      <c r="A50" s="124" t="s">
        <v>528</v>
      </c>
      <c r="B50" s="125" t="s">
        <v>165</v>
      </c>
      <c r="C50" s="124" t="s">
        <v>45</v>
      </c>
      <c r="D50" s="126">
        <v>1.58</v>
      </c>
      <c r="E50" s="134">
        <v>40.380000000000003</v>
      </c>
    </row>
    <row r="51" spans="1:6">
      <c r="A51" s="127" t="s">
        <v>7</v>
      </c>
      <c r="B51" s="124"/>
      <c r="C51" s="124"/>
      <c r="D51" s="131">
        <f>SUM(D50)</f>
        <v>1.58</v>
      </c>
      <c r="E51" s="135">
        <f>SUM(E50)</f>
        <v>40.380000000000003</v>
      </c>
    </row>
    <row r="52" spans="1:6">
      <c r="A52" s="127"/>
      <c r="B52" s="124"/>
      <c r="C52" s="124"/>
      <c r="D52" s="131"/>
      <c r="E52" s="135"/>
    </row>
    <row r="53" spans="1:6">
      <c r="A53" s="124" t="s">
        <v>549</v>
      </c>
      <c r="B53" s="125" t="s">
        <v>167</v>
      </c>
      <c r="C53" s="124" t="s">
        <v>54</v>
      </c>
      <c r="D53" s="126">
        <v>0.23</v>
      </c>
      <c r="E53" s="134">
        <v>6.13</v>
      </c>
    </row>
    <row r="54" spans="1:6">
      <c r="A54" s="140" t="s">
        <v>292</v>
      </c>
      <c r="B54" s="141" t="s">
        <v>167</v>
      </c>
      <c r="C54" s="140" t="s">
        <v>54</v>
      </c>
      <c r="D54" s="142">
        <v>37.18</v>
      </c>
      <c r="E54" s="143">
        <v>1005.62</v>
      </c>
      <c r="F54" t="s">
        <v>508</v>
      </c>
    </row>
    <row r="55" spans="1:6">
      <c r="A55" s="140" t="s">
        <v>429</v>
      </c>
      <c r="B55" s="141" t="s">
        <v>167</v>
      </c>
      <c r="C55" s="140" t="s">
        <v>54</v>
      </c>
      <c r="D55" s="142">
        <v>26.52</v>
      </c>
      <c r="E55" s="143">
        <v>717.14</v>
      </c>
      <c r="F55" t="s">
        <v>508</v>
      </c>
    </row>
    <row r="56" spans="1:6">
      <c r="A56" s="140" t="s">
        <v>484</v>
      </c>
      <c r="B56" s="141" t="s">
        <v>167</v>
      </c>
      <c r="C56" s="140" t="s">
        <v>54</v>
      </c>
      <c r="D56" s="142">
        <v>17.37</v>
      </c>
      <c r="E56" s="143">
        <v>456.14</v>
      </c>
      <c r="F56" t="s">
        <v>508</v>
      </c>
    </row>
    <row r="57" spans="1:6">
      <c r="A57" s="127" t="s">
        <v>7</v>
      </c>
      <c r="B57" s="125"/>
      <c r="C57" s="124"/>
      <c r="D57" s="131">
        <f>SUM(D53:D56)</f>
        <v>81.3</v>
      </c>
      <c r="E57" s="135">
        <f>SUM(E53:E56)</f>
        <v>2185.0299999999997</v>
      </c>
    </row>
    <row r="58" spans="1:6">
      <c r="A58" s="127"/>
      <c r="B58" s="125"/>
      <c r="C58" s="124"/>
      <c r="D58" s="131"/>
      <c r="E58" s="135"/>
    </row>
    <row r="59" spans="1:6">
      <c r="A59" s="124" t="s">
        <v>550</v>
      </c>
      <c r="B59" s="125" t="s">
        <v>240</v>
      </c>
      <c r="C59" s="124" t="s">
        <v>241</v>
      </c>
      <c r="D59" s="126">
        <v>2.7</v>
      </c>
      <c r="E59" s="134">
        <v>101.25</v>
      </c>
    </row>
    <row r="60" spans="1:6">
      <c r="A60" s="127" t="s">
        <v>7</v>
      </c>
      <c r="B60" s="125"/>
      <c r="C60" s="124"/>
      <c r="D60" s="131">
        <v>2.7</v>
      </c>
      <c r="E60" s="135">
        <v>101.25</v>
      </c>
    </row>
    <row r="61" spans="1:6">
      <c r="A61" s="127"/>
      <c r="B61" s="125"/>
      <c r="C61" s="124"/>
      <c r="D61" s="131"/>
      <c r="E61" s="135"/>
    </row>
    <row r="62" spans="1:6">
      <c r="A62" s="127"/>
      <c r="B62" s="125"/>
      <c r="C62" s="124"/>
      <c r="D62" s="131"/>
      <c r="E62" s="135"/>
    </row>
    <row r="63" spans="1:6">
      <c r="A63" s="124" t="s">
        <v>459</v>
      </c>
      <c r="B63" s="125" t="s">
        <v>171</v>
      </c>
      <c r="C63" s="124" t="s">
        <v>25</v>
      </c>
      <c r="D63" s="126">
        <v>2.33</v>
      </c>
      <c r="E63" s="134">
        <v>75.709999999999994</v>
      </c>
    </row>
    <row r="64" spans="1:6">
      <c r="A64" s="124" t="s">
        <v>493</v>
      </c>
      <c r="B64" s="125" t="s">
        <v>171</v>
      </c>
      <c r="C64" s="124" t="s">
        <v>25</v>
      </c>
      <c r="D64" s="126">
        <v>0.42</v>
      </c>
      <c r="E64" s="134">
        <v>13.39</v>
      </c>
    </row>
    <row r="65" spans="1:6">
      <c r="A65" s="124" t="s">
        <v>551</v>
      </c>
      <c r="B65" s="125" t="s">
        <v>171</v>
      </c>
      <c r="C65" s="124" t="s">
        <v>25</v>
      </c>
      <c r="D65" s="126">
        <v>7.0000000000000007E-2</v>
      </c>
      <c r="E65" s="134">
        <v>2.1</v>
      </c>
    </row>
    <row r="66" spans="1:6">
      <c r="A66" s="124" t="s">
        <v>512</v>
      </c>
      <c r="B66" s="125" t="s">
        <v>171</v>
      </c>
      <c r="C66" s="124" t="s">
        <v>25</v>
      </c>
      <c r="D66" s="126">
        <v>0.47</v>
      </c>
      <c r="E66" s="134">
        <v>14.99</v>
      </c>
    </row>
    <row r="67" spans="1:6">
      <c r="A67" s="124" t="s">
        <v>505</v>
      </c>
      <c r="B67" s="125" t="s">
        <v>171</v>
      </c>
      <c r="C67" s="124" t="s">
        <v>25</v>
      </c>
      <c r="D67" s="126">
        <v>0.2</v>
      </c>
      <c r="E67" s="134">
        <v>6.4</v>
      </c>
    </row>
    <row r="68" spans="1:6">
      <c r="A68" s="124" t="s">
        <v>500</v>
      </c>
      <c r="B68" s="125" t="s">
        <v>171</v>
      </c>
      <c r="C68" s="124" t="s">
        <v>25</v>
      </c>
      <c r="D68" s="126">
        <v>0.68</v>
      </c>
      <c r="E68" s="134">
        <v>20.91</v>
      </c>
    </row>
    <row r="69" spans="1:6">
      <c r="A69" s="124" t="s">
        <v>487</v>
      </c>
      <c r="B69" s="125" t="s">
        <v>171</v>
      </c>
      <c r="C69" s="124" t="s">
        <v>25</v>
      </c>
      <c r="D69" s="126">
        <v>0.13</v>
      </c>
      <c r="E69" s="134">
        <v>4.6399999999999997</v>
      </c>
    </row>
    <row r="70" spans="1:6">
      <c r="A70" s="124" t="s">
        <v>397</v>
      </c>
      <c r="B70" s="125" t="s">
        <v>171</v>
      </c>
      <c r="C70" s="124" t="s">
        <v>25</v>
      </c>
      <c r="D70" s="126">
        <v>1.55</v>
      </c>
      <c r="E70" s="134">
        <v>50.48</v>
      </c>
    </row>
    <row r="71" spans="1:6">
      <c r="A71" s="127" t="s">
        <v>7</v>
      </c>
      <c r="B71" s="124"/>
      <c r="C71" s="124"/>
      <c r="D71" s="131">
        <f>SUM(D63:D70)</f>
        <v>5.85</v>
      </c>
      <c r="E71" s="135">
        <f>SUM(E63:E70)</f>
        <v>188.61999999999998</v>
      </c>
    </row>
    <row r="72" spans="1:6">
      <c r="A72" s="127"/>
      <c r="B72" s="124"/>
      <c r="C72" s="124"/>
      <c r="D72" s="131"/>
      <c r="E72" s="135"/>
    </row>
    <row r="73" spans="1:6">
      <c r="A73" s="124" t="s">
        <v>413</v>
      </c>
      <c r="B73" s="125" t="s">
        <v>172</v>
      </c>
      <c r="C73" s="124" t="s">
        <v>12</v>
      </c>
      <c r="D73" s="126">
        <v>0.56999999999999995</v>
      </c>
      <c r="E73" s="134">
        <v>20.8</v>
      </c>
    </row>
    <row r="74" spans="1:6">
      <c r="A74" s="127" t="s">
        <v>7</v>
      </c>
      <c r="B74" s="124"/>
      <c r="C74" s="124"/>
      <c r="D74" s="131">
        <f>SUM(D73:D73)</f>
        <v>0.56999999999999995</v>
      </c>
      <c r="E74" s="135">
        <f>SUM(E73:E73)</f>
        <v>20.8</v>
      </c>
    </row>
    <row r="75" spans="1:6">
      <c r="A75" s="127"/>
      <c r="B75" s="124"/>
      <c r="C75" s="124"/>
      <c r="D75" s="131"/>
      <c r="E75" s="135"/>
    </row>
    <row r="76" spans="1:6">
      <c r="A76" s="124" t="s">
        <v>552</v>
      </c>
      <c r="B76" s="125">
        <v>100051</v>
      </c>
      <c r="C76" s="124" t="s">
        <v>34</v>
      </c>
      <c r="D76" s="126">
        <v>1.47</v>
      </c>
      <c r="E76" s="134">
        <v>31.9</v>
      </c>
    </row>
    <row r="77" spans="1:6">
      <c r="A77" s="140" t="s">
        <v>213</v>
      </c>
      <c r="B77" s="140">
        <v>100051</v>
      </c>
      <c r="C77" s="140" t="s">
        <v>34</v>
      </c>
      <c r="D77" s="142">
        <v>5.57</v>
      </c>
      <c r="E77" s="143">
        <v>141.94999999999999</v>
      </c>
      <c r="F77" t="s">
        <v>508</v>
      </c>
    </row>
    <row r="78" spans="1:6">
      <c r="A78" s="127" t="s">
        <v>7</v>
      </c>
      <c r="B78" s="124"/>
      <c r="C78" s="124"/>
      <c r="D78" s="131">
        <f>SUM(D76:D77)</f>
        <v>7.04</v>
      </c>
      <c r="E78" s="135">
        <f>SUM(E76:E77)</f>
        <v>173.85</v>
      </c>
    </row>
    <row r="79" spans="1:6">
      <c r="A79" s="127"/>
      <c r="B79" s="124"/>
      <c r="C79" s="124"/>
      <c r="D79" s="131"/>
      <c r="E79" s="135"/>
    </row>
    <row r="80" spans="1:6">
      <c r="A80" s="140" t="s">
        <v>41</v>
      </c>
      <c r="B80" s="141">
        <v>550052</v>
      </c>
      <c r="C80" s="140" t="s">
        <v>518</v>
      </c>
      <c r="D80" s="142">
        <v>15.97</v>
      </c>
      <c r="E80" s="143">
        <v>448.34</v>
      </c>
      <c r="F80" t="s">
        <v>508</v>
      </c>
    </row>
    <row r="81" spans="1:7">
      <c r="A81" s="127" t="s">
        <v>7</v>
      </c>
      <c r="B81" s="124"/>
      <c r="C81" s="124"/>
      <c r="D81" s="131">
        <f>SUM(D80)</f>
        <v>15.97</v>
      </c>
      <c r="E81" s="135">
        <f>SUM(E80)</f>
        <v>448.34</v>
      </c>
    </row>
    <row r="82" spans="1:7">
      <c r="A82" s="127"/>
      <c r="B82" s="124"/>
      <c r="C82" s="124"/>
      <c r="D82" s="131"/>
      <c r="E82" s="135"/>
    </row>
    <row r="83" spans="1:7">
      <c r="A83" s="279" t="s">
        <v>369</v>
      </c>
      <c r="B83" s="279">
        <v>450044</v>
      </c>
      <c r="C83" s="279" t="s">
        <v>519</v>
      </c>
      <c r="D83" s="280">
        <v>6.22</v>
      </c>
      <c r="E83" s="281">
        <v>167.85</v>
      </c>
      <c r="F83" t="s">
        <v>508</v>
      </c>
    </row>
    <row r="84" spans="1:7">
      <c r="A84" s="127" t="s">
        <v>7</v>
      </c>
      <c r="B84" s="124"/>
      <c r="C84" s="124"/>
      <c r="D84" s="131">
        <f>SUM(D83)</f>
        <v>6.22</v>
      </c>
      <c r="E84" s="135">
        <f>SUM(E83)</f>
        <v>167.85</v>
      </c>
    </row>
    <row r="85" spans="1:7">
      <c r="A85" s="127"/>
      <c r="B85" s="124"/>
      <c r="C85" s="124"/>
      <c r="D85" s="131"/>
      <c r="E85" s="135"/>
    </row>
    <row r="86" spans="1:7">
      <c r="A86" s="124" t="s">
        <v>553</v>
      </c>
      <c r="B86" s="124">
        <v>450046</v>
      </c>
      <c r="C86" s="124" t="s">
        <v>447</v>
      </c>
      <c r="D86" s="126">
        <v>3.98</v>
      </c>
      <c r="E86" s="134">
        <v>143.4</v>
      </c>
    </row>
    <row r="87" spans="1:7">
      <c r="A87" s="127" t="s">
        <v>7</v>
      </c>
      <c r="B87" s="124"/>
      <c r="C87" s="124"/>
      <c r="D87" s="131">
        <f>SUM(D86)</f>
        <v>3.98</v>
      </c>
      <c r="E87" s="135">
        <f>SUM(E86)</f>
        <v>143.4</v>
      </c>
    </row>
    <row r="88" spans="1:7">
      <c r="A88" s="127"/>
      <c r="B88" s="124"/>
      <c r="C88" s="124"/>
      <c r="D88" s="131"/>
      <c r="E88" s="135"/>
    </row>
    <row r="89" spans="1:7">
      <c r="A89" s="279" t="s">
        <v>282</v>
      </c>
      <c r="B89" s="279">
        <v>450048</v>
      </c>
      <c r="C89" s="279" t="s">
        <v>530</v>
      </c>
      <c r="D89" s="280">
        <v>6.85</v>
      </c>
      <c r="E89" s="281">
        <f>102.22+97.84</f>
        <v>200.06</v>
      </c>
      <c r="F89" t="s">
        <v>508</v>
      </c>
    </row>
    <row r="90" spans="1:7">
      <c r="A90" s="127" t="s">
        <v>7</v>
      </c>
      <c r="B90" s="124"/>
      <c r="C90" s="124"/>
      <c r="D90" s="131">
        <f>SUM(D89)</f>
        <v>6.85</v>
      </c>
      <c r="E90" s="135">
        <f>SUM(E89)</f>
        <v>200.06</v>
      </c>
    </row>
    <row r="91" spans="1:7">
      <c r="A91" s="127"/>
      <c r="B91" s="124"/>
      <c r="C91" s="124"/>
      <c r="D91" s="131"/>
      <c r="E91" s="135"/>
    </row>
    <row r="92" spans="1:7">
      <c r="A92" s="124" t="s">
        <v>427</v>
      </c>
      <c r="B92" s="124">
        <v>450051</v>
      </c>
      <c r="C92" s="124" t="s">
        <v>279</v>
      </c>
      <c r="D92" s="126">
        <v>0.68</v>
      </c>
      <c r="E92" s="134">
        <v>15.68</v>
      </c>
    </row>
    <row r="93" spans="1:7">
      <c r="A93" s="127" t="s">
        <v>7</v>
      </c>
      <c r="B93" s="124"/>
      <c r="C93" s="124"/>
      <c r="D93" s="131">
        <f>SUM(D92)</f>
        <v>0.68</v>
      </c>
      <c r="E93" s="135">
        <f>SUM(E92)</f>
        <v>15.68</v>
      </c>
    </row>
    <row r="94" spans="1:7">
      <c r="A94" s="127"/>
      <c r="B94" s="124"/>
      <c r="C94" s="124"/>
      <c r="D94" s="131"/>
      <c r="E94" s="135"/>
    </row>
    <row r="95" spans="1:7">
      <c r="A95" s="124" t="s">
        <v>122</v>
      </c>
      <c r="B95" s="124">
        <v>550051</v>
      </c>
      <c r="C95" s="124" t="s">
        <v>526</v>
      </c>
      <c r="D95" s="126">
        <v>0.38</v>
      </c>
      <c r="E95" s="134">
        <v>6.9</v>
      </c>
    </row>
    <row r="96" spans="1:7">
      <c r="A96" s="140" t="s">
        <v>39</v>
      </c>
      <c r="B96" s="140">
        <v>550051</v>
      </c>
      <c r="C96" s="140" t="s">
        <v>526</v>
      </c>
      <c r="D96" s="142">
        <v>10.220000000000001</v>
      </c>
      <c r="E96" s="143">
        <v>260.52999999999997</v>
      </c>
      <c r="F96" t="s">
        <v>508</v>
      </c>
      <c r="G96" t="s">
        <v>554</v>
      </c>
    </row>
    <row r="97" spans="1:5">
      <c r="A97" s="127" t="s">
        <v>7</v>
      </c>
      <c r="B97" s="124"/>
      <c r="C97" s="124"/>
      <c r="D97" s="131">
        <f>SUM(D95:D96)</f>
        <v>10.600000000000001</v>
      </c>
      <c r="E97" s="135">
        <f>SUM(E95:E96)</f>
        <v>267.42999999999995</v>
      </c>
    </row>
    <row r="98" spans="1:5">
      <c r="A98" s="127"/>
      <c r="B98" s="124"/>
      <c r="C98" s="124"/>
      <c r="D98" s="131"/>
      <c r="E98" s="135"/>
    </row>
    <row r="99" spans="1:5">
      <c r="A99" s="124" t="s">
        <v>475</v>
      </c>
      <c r="B99" s="124" t="s">
        <v>476</v>
      </c>
      <c r="C99" s="124" t="s">
        <v>477</v>
      </c>
      <c r="D99" s="126">
        <v>2.27</v>
      </c>
      <c r="E99" s="134">
        <v>84.18</v>
      </c>
    </row>
    <row r="100" spans="1:5">
      <c r="A100" s="127" t="s">
        <v>7</v>
      </c>
      <c r="B100" s="124"/>
      <c r="C100" s="124"/>
      <c r="D100" s="131">
        <f>SUM(D99)</f>
        <v>2.27</v>
      </c>
      <c r="E100" s="135">
        <f>SUM(E99)</f>
        <v>84.18</v>
      </c>
    </row>
    <row r="101" spans="1:5">
      <c r="A101" s="127"/>
      <c r="B101" s="124"/>
      <c r="C101" s="124"/>
      <c r="D101" s="131"/>
      <c r="E101" s="135"/>
    </row>
    <row r="102" spans="1:5">
      <c r="A102" s="122" t="s">
        <v>194</v>
      </c>
      <c r="B102" s="123"/>
      <c r="C102" s="123"/>
      <c r="D102" s="131">
        <f>D100+D97+D93+D90+D87+D84+D81+D78+D74+D71+D60+D57+D51+D48+D43+D40+D24+D21+D18+D12</f>
        <v>261.58999999999997</v>
      </c>
      <c r="E102" s="131">
        <f>E100+E97+E93+E90+E87+E84+E81+E78+E74+E71+E60+E57+E51+E48+E43+E40+E24+E21+E18+E12</f>
        <v>7223.2199999999993</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F743-A7C2-4836-A403-B723C1113ABC}">
  <dimension ref="A1:K87"/>
  <sheetViews>
    <sheetView zoomScale="80" zoomScaleNormal="80" workbookViewId="0">
      <selection activeCell="G1" sqref="G1:L7"/>
    </sheetView>
  </sheetViews>
  <sheetFormatPr defaultRowHeight="12.75"/>
  <cols>
    <col min="1" max="1" width="19.42578125" bestFit="1" customWidth="1"/>
    <col min="2" max="2" width="25.28515625" style="2" bestFit="1" customWidth="1"/>
    <col min="3" max="3" width="33.85546875" bestFit="1" customWidth="1"/>
    <col min="4" max="4" width="20.42578125" bestFit="1" customWidth="1"/>
    <col min="5" max="5" width="23.28515625" style="155" bestFit="1" customWidth="1"/>
    <col min="6" max="6" width="10.7109375" customWidth="1"/>
    <col min="7" max="7" width="13.7109375" customWidth="1"/>
    <col min="8" max="8" width="20.140625" customWidth="1"/>
  </cols>
  <sheetData>
    <row r="1" spans="1:11">
      <c r="A1" s="1" t="s">
        <v>147</v>
      </c>
      <c r="B1" s="204" t="s">
        <v>148</v>
      </c>
      <c r="C1" s="1" t="s">
        <v>149</v>
      </c>
      <c r="D1" s="1" t="s">
        <v>150</v>
      </c>
      <c r="E1" s="283" t="s">
        <v>151</v>
      </c>
      <c r="G1" s="232" t="s">
        <v>259</v>
      </c>
      <c r="H1" s="233" t="s">
        <v>334</v>
      </c>
      <c r="I1" s="234" t="s">
        <v>260</v>
      </c>
      <c r="J1" s="235" t="s">
        <v>262</v>
      </c>
      <c r="K1" s="236" t="s">
        <v>261</v>
      </c>
    </row>
    <row r="2" spans="1:11">
      <c r="A2" s="6" t="s">
        <v>14</v>
      </c>
      <c r="B2" s="6">
        <v>1020</v>
      </c>
      <c r="C2" s="6" t="s">
        <v>15</v>
      </c>
      <c r="D2" s="282">
        <v>0.18</v>
      </c>
      <c r="E2" s="284">
        <v>6.25</v>
      </c>
      <c r="G2" s="238">
        <f>E25+E29+E31+E32+E38+E41+E42+E45+E49+E50+E51+E72</f>
        <v>2690.4100000000003</v>
      </c>
      <c r="H2" s="239">
        <v>0</v>
      </c>
      <c r="I2" s="240">
        <f>E15</f>
        <v>510.83</v>
      </c>
      <c r="J2" s="241">
        <v>0</v>
      </c>
      <c r="K2" s="242">
        <f>E75+E81</f>
        <v>283.23</v>
      </c>
    </row>
    <row r="3" spans="1:11">
      <c r="A3" s="6" t="s">
        <v>506</v>
      </c>
      <c r="B3" s="6">
        <v>1020</v>
      </c>
      <c r="C3" s="6" t="s">
        <v>15</v>
      </c>
      <c r="D3" s="282">
        <v>0.17</v>
      </c>
      <c r="E3" s="284">
        <v>5.67</v>
      </c>
      <c r="G3" s="243"/>
      <c r="H3" s="231" t="s">
        <v>263</v>
      </c>
      <c r="I3" s="243"/>
      <c r="J3" s="243"/>
      <c r="K3" s="243"/>
    </row>
    <row r="4" spans="1:11">
      <c r="A4" s="6" t="s">
        <v>507</v>
      </c>
      <c r="B4" s="6">
        <v>1020</v>
      </c>
      <c r="C4" s="6" t="s">
        <v>15</v>
      </c>
      <c r="D4" s="282">
        <v>2.75</v>
      </c>
      <c r="E4" s="284">
        <v>77.84</v>
      </c>
      <c r="G4" s="244"/>
      <c r="H4" s="244"/>
      <c r="I4" s="244"/>
      <c r="J4" s="244"/>
      <c r="K4" s="244"/>
    </row>
    <row r="5" spans="1:11">
      <c r="A5" s="6" t="s">
        <v>389</v>
      </c>
      <c r="B5" s="6">
        <v>1020</v>
      </c>
      <c r="C5" s="6" t="s">
        <v>15</v>
      </c>
      <c r="D5" s="282">
        <v>1.38</v>
      </c>
      <c r="E5" s="284">
        <v>45.01</v>
      </c>
      <c r="G5" s="231"/>
      <c r="H5" s="231" t="s">
        <v>461</v>
      </c>
      <c r="I5" s="231"/>
      <c r="J5" s="231"/>
      <c r="K5" s="231"/>
    </row>
    <row r="6" spans="1:11" ht="15">
      <c r="A6" s="6" t="s">
        <v>434</v>
      </c>
      <c r="B6" s="6">
        <v>400020</v>
      </c>
      <c r="C6" s="6" t="s">
        <v>98</v>
      </c>
      <c r="D6" s="282">
        <v>1.38</v>
      </c>
      <c r="E6" s="284">
        <v>45.36</v>
      </c>
      <c r="G6" s="231"/>
      <c r="H6" s="247" t="s">
        <v>454</v>
      </c>
      <c r="I6" s="231"/>
      <c r="J6" s="231"/>
      <c r="K6" s="231"/>
    </row>
    <row r="7" spans="1:11" ht="15">
      <c r="A7" s="6" t="s">
        <v>545</v>
      </c>
      <c r="B7" s="6">
        <v>1020</v>
      </c>
      <c r="C7" s="6" t="s">
        <v>15</v>
      </c>
      <c r="D7" s="282">
        <v>0.67</v>
      </c>
      <c r="E7" s="284">
        <v>20</v>
      </c>
      <c r="G7" s="231"/>
      <c r="H7" s="248" t="s">
        <v>455</v>
      </c>
      <c r="I7" s="231"/>
      <c r="J7" s="231"/>
      <c r="K7" s="231"/>
    </row>
    <row r="8" spans="1:11">
      <c r="A8" s="6" t="s">
        <v>377</v>
      </c>
      <c r="B8" s="6">
        <v>1020</v>
      </c>
      <c r="C8" s="6" t="s">
        <v>15</v>
      </c>
      <c r="D8" s="282">
        <v>0.22</v>
      </c>
      <c r="E8" s="284">
        <v>7.47</v>
      </c>
    </row>
    <row r="9" spans="1:11">
      <c r="A9" s="6" t="s">
        <v>469</v>
      </c>
      <c r="B9" s="6">
        <v>1020</v>
      </c>
      <c r="C9" s="6" t="s">
        <v>15</v>
      </c>
      <c r="D9" s="282">
        <v>0.08</v>
      </c>
      <c r="E9" s="284">
        <v>2.63</v>
      </c>
    </row>
    <row r="10" spans="1:11">
      <c r="A10" s="204" t="s">
        <v>7</v>
      </c>
      <c r="B10" s="6"/>
      <c r="C10" s="6"/>
      <c r="D10" s="283">
        <v>6.83</v>
      </c>
      <c r="E10" s="285">
        <v>210.23</v>
      </c>
    </row>
    <row r="11" spans="1:11">
      <c r="A11" s="204"/>
      <c r="B11" s="6"/>
      <c r="C11" s="6"/>
      <c r="D11" s="283"/>
      <c r="E11" s="283"/>
    </row>
    <row r="12" spans="1:11">
      <c r="A12" s="6" t="s">
        <v>307</v>
      </c>
      <c r="B12" s="6">
        <v>100035</v>
      </c>
      <c r="C12" s="6" t="s">
        <v>332</v>
      </c>
      <c r="D12" s="282">
        <v>0.98</v>
      </c>
      <c r="E12" s="284">
        <v>40.4</v>
      </c>
    </row>
    <row r="13" spans="1:11">
      <c r="A13" s="6" t="s">
        <v>22</v>
      </c>
      <c r="B13" s="6">
        <v>1035</v>
      </c>
      <c r="C13" s="6" t="s">
        <v>23</v>
      </c>
      <c r="D13" s="282">
        <v>0.5</v>
      </c>
      <c r="E13" s="284">
        <v>19.309999999999999</v>
      </c>
    </row>
    <row r="14" spans="1:11">
      <c r="A14" s="6" t="s">
        <v>488</v>
      </c>
      <c r="B14" s="6">
        <v>1035</v>
      </c>
      <c r="C14" s="6" t="s">
        <v>23</v>
      </c>
      <c r="D14" s="282">
        <v>0.97</v>
      </c>
      <c r="E14" s="284">
        <v>36.979999999999997</v>
      </c>
    </row>
    <row r="15" spans="1:11" ht="15.75">
      <c r="A15" s="222" t="s">
        <v>494</v>
      </c>
      <c r="B15" s="222">
        <v>400035</v>
      </c>
      <c r="C15" s="222" t="s">
        <v>541</v>
      </c>
      <c r="D15" s="291">
        <v>12.72</v>
      </c>
      <c r="E15" s="292">
        <v>510.83</v>
      </c>
      <c r="F15" t="s">
        <v>508</v>
      </c>
      <c r="G15" s="293" t="s">
        <v>555</v>
      </c>
    </row>
    <row r="16" spans="1:11">
      <c r="A16" s="204" t="s">
        <v>7</v>
      </c>
      <c r="B16" s="6"/>
      <c r="C16" s="6"/>
      <c r="D16" s="283">
        <v>15.17</v>
      </c>
      <c r="E16" s="285">
        <v>607.52</v>
      </c>
    </row>
    <row r="17" spans="1:6">
      <c r="A17" s="204"/>
      <c r="B17" s="6"/>
      <c r="C17" s="6"/>
      <c r="D17" s="283"/>
      <c r="E17" s="283"/>
    </row>
    <row r="18" spans="1:6">
      <c r="A18" s="6" t="s">
        <v>471</v>
      </c>
      <c r="B18" s="6">
        <v>1041</v>
      </c>
      <c r="C18" s="6" t="s">
        <v>196</v>
      </c>
      <c r="D18" s="282">
        <v>0.12</v>
      </c>
      <c r="E18" s="284">
        <v>4.1100000000000003</v>
      </c>
    </row>
    <row r="19" spans="1:6">
      <c r="A19" s="204" t="s">
        <v>7</v>
      </c>
      <c r="B19" s="6"/>
      <c r="C19" s="6"/>
      <c r="D19" s="283">
        <v>0.12</v>
      </c>
      <c r="E19" s="285">
        <v>4.1100000000000003</v>
      </c>
    </row>
    <row r="20" spans="1:6">
      <c r="A20" s="6"/>
      <c r="B20" s="6"/>
      <c r="C20" s="6"/>
      <c r="D20" s="282"/>
      <c r="E20" s="282"/>
    </row>
    <row r="21" spans="1:6">
      <c r="A21" s="6" t="s">
        <v>492</v>
      </c>
      <c r="B21" s="6">
        <v>1045</v>
      </c>
      <c r="C21" s="6" t="s">
        <v>66</v>
      </c>
      <c r="D21" s="282">
        <v>0.02</v>
      </c>
      <c r="E21" s="284">
        <v>0.4</v>
      </c>
    </row>
    <row r="22" spans="1:6">
      <c r="A22" s="6" t="s">
        <v>509</v>
      </c>
      <c r="B22" s="6">
        <v>1045</v>
      </c>
      <c r="C22" s="6" t="s">
        <v>66</v>
      </c>
      <c r="D22" s="282">
        <v>0.35</v>
      </c>
      <c r="E22" s="284">
        <v>8.57</v>
      </c>
    </row>
    <row r="23" spans="1:6">
      <c r="A23" s="6" t="s">
        <v>210</v>
      </c>
      <c r="B23" s="6">
        <v>1045</v>
      </c>
      <c r="C23" s="6" t="s">
        <v>66</v>
      </c>
      <c r="D23" s="282">
        <v>0.22</v>
      </c>
      <c r="E23" s="284">
        <v>5.74</v>
      </c>
    </row>
    <row r="24" spans="1:6">
      <c r="A24" s="6" t="s">
        <v>472</v>
      </c>
      <c r="B24" s="6">
        <v>1045</v>
      </c>
      <c r="C24" s="6" t="s">
        <v>66</v>
      </c>
      <c r="D24" s="282">
        <v>0.1</v>
      </c>
      <c r="E24" s="284">
        <v>2.4700000000000002</v>
      </c>
    </row>
    <row r="25" spans="1:6">
      <c r="A25" s="212" t="s">
        <v>267</v>
      </c>
      <c r="B25" s="212">
        <v>1045</v>
      </c>
      <c r="C25" s="212" t="s">
        <v>66</v>
      </c>
      <c r="D25" s="286">
        <v>4.95</v>
      </c>
      <c r="E25" s="287">
        <v>132.54</v>
      </c>
      <c r="F25" t="s">
        <v>508</v>
      </c>
    </row>
    <row r="26" spans="1:6">
      <c r="A26" s="6" t="s">
        <v>86</v>
      </c>
      <c r="B26" s="6">
        <v>1045</v>
      </c>
      <c r="C26" s="6" t="s">
        <v>66</v>
      </c>
      <c r="D26" s="282">
        <v>0.27</v>
      </c>
      <c r="E26" s="284">
        <v>7.62</v>
      </c>
    </row>
    <row r="27" spans="1:6">
      <c r="A27" s="6" t="s">
        <v>464</v>
      </c>
      <c r="B27" s="6">
        <v>1045</v>
      </c>
      <c r="C27" s="6" t="s">
        <v>66</v>
      </c>
      <c r="D27" s="282">
        <v>1.83</v>
      </c>
      <c r="E27" s="284">
        <v>48.13</v>
      </c>
    </row>
    <row r="28" spans="1:6">
      <c r="A28" s="6" t="s">
        <v>407</v>
      </c>
      <c r="B28" s="6">
        <v>1045</v>
      </c>
      <c r="C28" s="6" t="s">
        <v>66</v>
      </c>
      <c r="D28" s="282">
        <v>0.77</v>
      </c>
      <c r="E28" s="284">
        <v>19.75</v>
      </c>
    </row>
    <row r="29" spans="1:6">
      <c r="A29" s="288" t="s">
        <v>328</v>
      </c>
      <c r="B29" s="212">
        <v>1045</v>
      </c>
      <c r="C29" s="288" t="s">
        <v>66</v>
      </c>
      <c r="D29" s="288">
        <v>5.57</v>
      </c>
      <c r="E29" s="287">
        <v>156.56</v>
      </c>
      <c r="F29" t="s">
        <v>508</v>
      </c>
    </row>
    <row r="30" spans="1:6">
      <c r="A30" s="10" t="s">
        <v>458</v>
      </c>
      <c r="B30" s="6">
        <v>1045</v>
      </c>
      <c r="C30" s="10" t="s">
        <v>66</v>
      </c>
      <c r="D30" s="10">
        <v>0.48</v>
      </c>
      <c r="E30" s="284">
        <v>14.14</v>
      </c>
    </row>
    <row r="31" spans="1:6">
      <c r="A31" s="288" t="s">
        <v>270</v>
      </c>
      <c r="B31" s="212">
        <v>1045</v>
      </c>
      <c r="C31" s="288" t="s">
        <v>66</v>
      </c>
      <c r="D31" s="288">
        <v>5.22</v>
      </c>
      <c r="E31" s="287">
        <v>160.26</v>
      </c>
      <c r="F31" t="s">
        <v>508</v>
      </c>
    </row>
    <row r="32" spans="1:6">
      <c r="A32" s="288" t="s">
        <v>79</v>
      </c>
      <c r="B32" s="212">
        <v>1045</v>
      </c>
      <c r="C32" s="288" t="s">
        <v>66</v>
      </c>
      <c r="D32" s="288">
        <v>4.92</v>
      </c>
      <c r="E32" s="287">
        <v>134.59</v>
      </c>
      <c r="F32" t="s">
        <v>508</v>
      </c>
    </row>
    <row r="33" spans="1:6">
      <c r="A33" s="10" t="s">
        <v>483</v>
      </c>
      <c r="B33" s="6">
        <v>1045</v>
      </c>
      <c r="C33" s="10" t="s">
        <v>66</v>
      </c>
      <c r="D33" s="10">
        <v>0.23</v>
      </c>
      <c r="E33" s="284">
        <v>5.71</v>
      </c>
    </row>
    <row r="34" spans="1:6">
      <c r="A34" s="10" t="s">
        <v>375</v>
      </c>
      <c r="B34" s="6">
        <v>1045</v>
      </c>
      <c r="C34" s="10" t="s">
        <v>66</v>
      </c>
      <c r="D34" s="10">
        <v>0.18</v>
      </c>
      <c r="E34" s="284">
        <v>4.96</v>
      </c>
    </row>
    <row r="35" spans="1:6">
      <c r="A35" s="10" t="s">
        <v>516</v>
      </c>
      <c r="B35" s="6">
        <v>1045</v>
      </c>
      <c r="C35" s="10" t="s">
        <v>66</v>
      </c>
      <c r="D35" s="10">
        <v>1.52</v>
      </c>
      <c r="E35" s="284">
        <v>35.97</v>
      </c>
    </row>
    <row r="36" spans="1:6">
      <c r="A36" s="204" t="s">
        <v>7</v>
      </c>
      <c r="B36" s="6"/>
      <c r="C36" s="6"/>
      <c r="D36" s="283">
        <v>26.63</v>
      </c>
      <c r="E36" s="285">
        <v>737.41</v>
      </c>
    </row>
    <row r="37" spans="1:6">
      <c r="A37" s="204"/>
      <c r="B37" s="6"/>
      <c r="C37" s="6"/>
      <c r="D37" s="283"/>
      <c r="E37" s="283"/>
    </row>
    <row r="38" spans="1:6">
      <c r="A38" s="212" t="s">
        <v>163</v>
      </c>
      <c r="B38" s="212">
        <v>1046</v>
      </c>
      <c r="C38" s="212" t="s">
        <v>51</v>
      </c>
      <c r="D38" s="286">
        <v>18.5</v>
      </c>
      <c r="E38" s="287">
        <v>634.91999999999996</v>
      </c>
      <c r="F38" t="s">
        <v>508</v>
      </c>
    </row>
    <row r="39" spans="1:6">
      <c r="A39" s="204" t="s">
        <v>7</v>
      </c>
      <c r="B39" s="6"/>
      <c r="C39" s="6"/>
      <c r="D39" s="283">
        <v>18.5</v>
      </c>
      <c r="E39" s="285">
        <v>634.91999999999996</v>
      </c>
    </row>
    <row r="40" spans="1:6">
      <c r="A40" s="204"/>
      <c r="B40" s="6"/>
      <c r="C40" s="6"/>
      <c r="D40" s="283"/>
      <c r="E40" s="283"/>
    </row>
    <row r="41" spans="1:6">
      <c r="A41" s="212" t="s">
        <v>548</v>
      </c>
      <c r="B41" s="212">
        <v>1047</v>
      </c>
      <c r="C41" s="212" t="s">
        <v>60</v>
      </c>
      <c r="D41" s="286">
        <v>10.67</v>
      </c>
      <c r="E41" s="287">
        <v>232</v>
      </c>
      <c r="F41" t="s">
        <v>508</v>
      </c>
    </row>
    <row r="42" spans="1:6">
      <c r="A42" s="212" t="s">
        <v>64</v>
      </c>
      <c r="B42" s="212">
        <v>1047</v>
      </c>
      <c r="C42" s="212" t="s">
        <v>60</v>
      </c>
      <c r="D42" s="286">
        <v>11.17</v>
      </c>
      <c r="E42" s="287">
        <v>261.3</v>
      </c>
      <c r="F42" t="s">
        <v>508</v>
      </c>
    </row>
    <row r="43" spans="1:6">
      <c r="A43" s="204" t="s">
        <v>7</v>
      </c>
      <c r="B43" s="6"/>
      <c r="C43" s="6"/>
      <c r="D43" s="283">
        <v>21.84</v>
      </c>
      <c r="E43" s="285">
        <v>493.3</v>
      </c>
    </row>
    <row r="44" spans="1:6">
      <c r="A44" s="204"/>
      <c r="B44" s="6"/>
      <c r="C44" s="6"/>
      <c r="D44" s="283"/>
      <c r="E44" s="283"/>
    </row>
    <row r="45" spans="1:6">
      <c r="A45" s="212" t="s">
        <v>474</v>
      </c>
      <c r="B45" s="212">
        <v>1048</v>
      </c>
      <c r="C45" s="212" t="s">
        <v>45</v>
      </c>
      <c r="D45" s="286">
        <v>5.05</v>
      </c>
      <c r="E45" s="287">
        <v>129.99</v>
      </c>
      <c r="F45" t="s">
        <v>508</v>
      </c>
    </row>
    <row r="46" spans="1:6">
      <c r="A46" s="204" t="s">
        <v>7</v>
      </c>
      <c r="B46" s="6"/>
      <c r="C46" s="6"/>
      <c r="D46" s="283">
        <v>5.05</v>
      </c>
      <c r="E46" s="285">
        <v>129.99</v>
      </c>
    </row>
    <row r="47" spans="1:6">
      <c r="A47" s="204"/>
      <c r="B47" s="6"/>
      <c r="C47" s="6"/>
      <c r="D47" s="283"/>
      <c r="E47" s="283"/>
    </row>
    <row r="48" spans="1:6">
      <c r="A48" s="6" t="s">
        <v>166</v>
      </c>
      <c r="B48" s="6">
        <v>1049</v>
      </c>
      <c r="C48" s="6" t="s">
        <v>54</v>
      </c>
      <c r="D48" s="282">
        <v>0.37</v>
      </c>
      <c r="E48" s="284">
        <v>9.35</v>
      </c>
    </row>
    <row r="49" spans="1:6">
      <c r="A49" s="212" t="s">
        <v>549</v>
      </c>
      <c r="B49" s="212">
        <v>1049</v>
      </c>
      <c r="C49" s="212" t="s">
        <v>54</v>
      </c>
      <c r="D49" s="286">
        <v>9.3699999999999992</v>
      </c>
      <c r="E49" s="287">
        <v>245.88</v>
      </c>
      <c r="F49" t="s">
        <v>508</v>
      </c>
    </row>
    <row r="50" spans="1:6">
      <c r="A50" s="212" t="s">
        <v>292</v>
      </c>
      <c r="B50" s="212">
        <v>1049</v>
      </c>
      <c r="C50" s="212" t="s">
        <v>54</v>
      </c>
      <c r="D50" s="286">
        <v>11.3</v>
      </c>
      <c r="E50" s="287">
        <v>305.61</v>
      </c>
      <c r="F50" t="s">
        <v>508</v>
      </c>
    </row>
    <row r="51" spans="1:6">
      <c r="A51" s="212" t="s">
        <v>484</v>
      </c>
      <c r="B51" s="212">
        <v>1049</v>
      </c>
      <c r="C51" s="212" t="s">
        <v>54</v>
      </c>
      <c r="D51" s="286">
        <v>5.65</v>
      </c>
      <c r="E51" s="287">
        <v>148.4</v>
      </c>
      <c r="F51" t="s">
        <v>508</v>
      </c>
    </row>
    <row r="52" spans="1:6">
      <c r="A52" s="204" t="s">
        <v>7</v>
      </c>
      <c r="B52" s="6"/>
      <c r="C52" s="6"/>
      <c r="D52" s="283">
        <v>26.69</v>
      </c>
      <c r="E52" s="285">
        <v>709.24</v>
      </c>
    </row>
    <row r="53" spans="1:6">
      <c r="A53" s="204"/>
      <c r="B53" s="6"/>
      <c r="C53" s="6"/>
      <c r="D53" s="283"/>
      <c r="E53" s="283"/>
    </row>
    <row r="54" spans="1:6">
      <c r="A54" s="6" t="s">
        <v>550</v>
      </c>
      <c r="B54" s="6">
        <v>1055</v>
      </c>
      <c r="C54" s="6" t="s">
        <v>241</v>
      </c>
      <c r="D54" s="282">
        <v>2.57</v>
      </c>
      <c r="E54" s="284">
        <v>96.25</v>
      </c>
    </row>
    <row r="55" spans="1:6">
      <c r="A55" s="204" t="s">
        <v>7</v>
      </c>
      <c r="B55" s="6"/>
      <c r="C55" s="6"/>
      <c r="D55" s="283">
        <v>2.57</v>
      </c>
      <c r="E55" s="285">
        <v>96.25</v>
      </c>
    </row>
    <row r="56" spans="1:6">
      <c r="A56" s="204"/>
      <c r="B56" s="6"/>
      <c r="C56" s="6"/>
      <c r="D56" s="283"/>
      <c r="E56" s="283"/>
    </row>
    <row r="57" spans="1:6">
      <c r="A57" s="6" t="s">
        <v>459</v>
      </c>
      <c r="B57" s="6">
        <v>1060</v>
      </c>
      <c r="C57" s="6" t="s">
        <v>25</v>
      </c>
      <c r="D57" s="282">
        <v>1.62</v>
      </c>
      <c r="E57" s="284">
        <v>52.45</v>
      </c>
    </row>
    <row r="58" spans="1:6">
      <c r="A58" s="6" t="s">
        <v>493</v>
      </c>
      <c r="B58" s="6">
        <v>1060</v>
      </c>
      <c r="C58" s="6" t="s">
        <v>25</v>
      </c>
      <c r="D58" s="282">
        <v>0.27</v>
      </c>
      <c r="E58" s="284">
        <v>8.57</v>
      </c>
    </row>
    <row r="59" spans="1:6">
      <c r="A59" s="6" t="s">
        <v>551</v>
      </c>
      <c r="B59" s="6">
        <v>1060</v>
      </c>
      <c r="C59" s="6" t="s">
        <v>25</v>
      </c>
      <c r="D59" s="282">
        <v>0.12</v>
      </c>
      <c r="E59" s="284">
        <v>3.68</v>
      </c>
    </row>
    <row r="60" spans="1:6">
      <c r="A60" s="6" t="s">
        <v>512</v>
      </c>
      <c r="B60" s="6">
        <v>1060</v>
      </c>
      <c r="C60" s="6" t="s">
        <v>25</v>
      </c>
      <c r="D60" s="282">
        <v>0.45</v>
      </c>
      <c r="E60" s="284">
        <v>14.46</v>
      </c>
    </row>
    <row r="61" spans="1:6">
      <c r="A61" s="6" t="s">
        <v>500</v>
      </c>
      <c r="B61" s="6">
        <v>1060</v>
      </c>
      <c r="C61" s="6" t="s">
        <v>25</v>
      </c>
      <c r="D61" s="282">
        <v>0.1</v>
      </c>
      <c r="E61" s="284">
        <v>3.06</v>
      </c>
    </row>
    <row r="62" spans="1:6">
      <c r="A62" s="6" t="s">
        <v>487</v>
      </c>
      <c r="B62" s="6">
        <v>1060</v>
      </c>
      <c r="C62" s="6" t="s">
        <v>25</v>
      </c>
      <c r="D62" s="282">
        <v>0.23</v>
      </c>
      <c r="E62" s="284">
        <v>8.11</v>
      </c>
    </row>
    <row r="63" spans="1:6">
      <c r="A63" s="6" t="s">
        <v>397</v>
      </c>
      <c r="B63" s="6">
        <v>1060</v>
      </c>
      <c r="C63" s="6" t="s">
        <v>25</v>
      </c>
      <c r="D63" s="282">
        <v>0.55000000000000004</v>
      </c>
      <c r="E63" s="284">
        <v>17.91</v>
      </c>
    </row>
    <row r="64" spans="1:6">
      <c r="A64" s="204" t="s">
        <v>7</v>
      </c>
      <c r="B64" s="6"/>
      <c r="C64" s="6"/>
      <c r="D64" s="283">
        <v>3.34</v>
      </c>
      <c r="E64" s="285">
        <v>108.24</v>
      </c>
    </row>
    <row r="65" spans="1:6">
      <c r="A65" s="204"/>
      <c r="B65" s="6"/>
      <c r="C65" s="6"/>
      <c r="D65" s="283"/>
      <c r="E65" s="283"/>
    </row>
    <row r="66" spans="1:6">
      <c r="A66" s="6" t="s">
        <v>413</v>
      </c>
      <c r="B66" s="6">
        <v>1065</v>
      </c>
      <c r="C66" s="6" t="s">
        <v>12</v>
      </c>
      <c r="D66" s="282">
        <v>1.43</v>
      </c>
      <c r="E66" s="284">
        <v>52.61</v>
      </c>
    </row>
    <row r="67" spans="1:6">
      <c r="A67" s="204" t="s">
        <v>7</v>
      </c>
      <c r="B67" s="6"/>
      <c r="C67" s="6"/>
      <c r="D67" s="283">
        <v>1.43</v>
      </c>
      <c r="E67" s="285">
        <v>52.61</v>
      </c>
    </row>
    <row r="68" spans="1:6">
      <c r="A68" s="204"/>
      <c r="B68" s="6"/>
      <c r="C68" s="6"/>
      <c r="D68" s="283"/>
      <c r="E68" s="283"/>
    </row>
    <row r="69" spans="1:6">
      <c r="A69" s="6" t="s">
        <v>213</v>
      </c>
      <c r="B69" s="6">
        <v>100051</v>
      </c>
      <c r="C69" s="6" t="s">
        <v>34</v>
      </c>
      <c r="D69" s="282">
        <v>0.12</v>
      </c>
      <c r="E69" s="284">
        <v>2.98</v>
      </c>
    </row>
    <row r="70" spans="1:6">
      <c r="A70" s="204" t="s">
        <v>7</v>
      </c>
      <c r="B70" s="6"/>
      <c r="C70" s="6"/>
      <c r="D70" s="283">
        <v>0.12</v>
      </c>
      <c r="E70" s="285">
        <v>2.98</v>
      </c>
    </row>
    <row r="71" spans="1:6">
      <c r="A71" s="204"/>
      <c r="B71" s="6"/>
      <c r="C71" s="6"/>
      <c r="D71" s="283"/>
      <c r="E71" s="283"/>
    </row>
    <row r="72" spans="1:6">
      <c r="A72" s="212" t="s">
        <v>41</v>
      </c>
      <c r="B72" s="212">
        <v>550052</v>
      </c>
      <c r="C72" s="212" t="s">
        <v>518</v>
      </c>
      <c r="D72" s="286">
        <v>5.28</v>
      </c>
      <c r="E72" s="287">
        <v>148.36000000000001</v>
      </c>
      <c r="F72" t="s">
        <v>508</v>
      </c>
    </row>
    <row r="73" spans="1:6">
      <c r="A73" s="204" t="s">
        <v>7</v>
      </c>
      <c r="B73" s="6"/>
      <c r="C73" s="6"/>
      <c r="D73" s="283">
        <v>5.28</v>
      </c>
      <c r="E73" s="285">
        <v>148.36000000000001</v>
      </c>
    </row>
    <row r="74" spans="1:6">
      <c r="A74" s="204"/>
      <c r="B74" s="6"/>
      <c r="C74" s="6"/>
      <c r="D74" s="283"/>
      <c r="E74" s="283"/>
    </row>
    <row r="75" spans="1:6">
      <c r="A75" s="226" t="s">
        <v>369</v>
      </c>
      <c r="B75" s="226">
        <v>450044</v>
      </c>
      <c r="C75" s="226" t="s">
        <v>519</v>
      </c>
      <c r="D75" s="289">
        <v>5.5</v>
      </c>
      <c r="E75" s="290">
        <v>148.5</v>
      </c>
      <c r="F75" t="s">
        <v>508</v>
      </c>
    </row>
    <row r="76" spans="1:6">
      <c r="A76" s="204" t="s">
        <v>7</v>
      </c>
      <c r="B76" s="6"/>
      <c r="C76" s="6"/>
      <c r="D76" s="283">
        <v>5.5</v>
      </c>
      <c r="E76" s="285">
        <v>148.5</v>
      </c>
    </row>
    <row r="77" spans="1:6">
      <c r="A77" s="204"/>
      <c r="B77" s="6"/>
      <c r="C77" s="6"/>
      <c r="D77" s="283"/>
      <c r="E77" s="283"/>
    </row>
    <row r="78" spans="1:6">
      <c r="A78" s="6" t="s">
        <v>553</v>
      </c>
      <c r="B78" s="6">
        <v>450046</v>
      </c>
      <c r="C78" s="6" t="s">
        <v>447</v>
      </c>
      <c r="D78" s="282">
        <v>1</v>
      </c>
      <c r="E78" s="284">
        <v>36</v>
      </c>
    </row>
    <row r="79" spans="1:6">
      <c r="A79" s="204" t="s">
        <v>7</v>
      </c>
      <c r="B79" s="6"/>
      <c r="C79" s="6"/>
      <c r="D79" s="283">
        <v>1</v>
      </c>
      <c r="E79" s="285">
        <v>36</v>
      </c>
    </row>
    <row r="80" spans="1:6">
      <c r="A80" s="204"/>
      <c r="B80" s="6"/>
      <c r="C80" s="6"/>
      <c r="D80" s="283"/>
      <c r="E80" s="283"/>
    </row>
    <row r="81" spans="1:6">
      <c r="A81" s="226" t="s">
        <v>39</v>
      </c>
      <c r="B81" s="226">
        <v>550051</v>
      </c>
      <c r="C81" s="226" t="s">
        <v>526</v>
      </c>
      <c r="D81" s="289">
        <v>5.28</v>
      </c>
      <c r="E81" s="290">
        <v>134.72999999999999</v>
      </c>
      <c r="F81" t="s">
        <v>508</v>
      </c>
    </row>
    <row r="82" spans="1:6">
      <c r="A82" s="204" t="s">
        <v>7</v>
      </c>
      <c r="B82" s="6"/>
      <c r="C82" s="6"/>
      <c r="D82" s="283">
        <v>5.28</v>
      </c>
      <c r="E82" s="285">
        <v>134.72999999999999</v>
      </c>
    </row>
    <row r="83" spans="1:6">
      <c r="A83" s="204"/>
      <c r="B83" s="6"/>
      <c r="C83" s="6"/>
      <c r="D83" s="283"/>
      <c r="E83" s="283"/>
    </row>
    <row r="84" spans="1:6">
      <c r="A84" s="6" t="s">
        <v>475</v>
      </c>
      <c r="B84" s="6" t="s">
        <v>476</v>
      </c>
      <c r="C84" s="6" t="s">
        <v>477</v>
      </c>
      <c r="D84" s="282">
        <v>2.72</v>
      </c>
      <c r="E84" s="284">
        <v>100.9</v>
      </c>
    </row>
    <row r="85" spans="1:6">
      <c r="A85" s="204" t="s">
        <v>7</v>
      </c>
      <c r="B85" s="6"/>
      <c r="C85" s="6"/>
      <c r="D85" s="283">
        <v>2.72</v>
      </c>
      <c r="E85" s="285">
        <v>100.9</v>
      </c>
    </row>
    <row r="86" spans="1:6">
      <c r="A86" s="204"/>
      <c r="B86" s="6"/>
      <c r="C86" s="6"/>
      <c r="D86" s="283"/>
      <c r="E86" s="283"/>
    </row>
    <row r="87" spans="1:6">
      <c r="A87" s="1" t="s">
        <v>194</v>
      </c>
      <c r="B87" s="6"/>
      <c r="C87" s="10"/>
      <c r="D87" s="283">
        <v>148.07</v>
      </c>
      <c r="E87" s="285">
        <v>4355.29</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C1BB-FE7D-4C82-8A3F-B4867699C5BA}">
  <dimension ref="A1:K93"/>
  <sheetViews>
    <sheetView workbookViewId="0">
      <selection activeCell="G1" sqref="G1:M7"/>
    </sheetView>
  </sheetViews>
  <sheetFormatPr defaultRowHeight="12.75"/>
  <cols>
    <col min="1" max="1" width="19.5703125" bestFit="1" customWidth="1"/>
    <col min="2" max="2" width="22.7109375" bestFit="1" customWidth="1"/>
    <col min="3" max="3" width="34.28515625" bestFit="1" customWidth="1"/>
    <col min="4" max="4" width="20.28515625" bestFit="1" customWidth="1"/>
    <col min="5" max="5" width="23" bestFit="1" customWidth="1"/>
    <col min="7" max="7" width="9.7109375" bestFit="1" customWidth="1"/>
    <col min="8" max="8" width="14.5703125" customWidth="1"/>
    <col min="10" max="10" width="9.85546875" bestFit="1" customWidth="1"/>
    <col min="11" max="11" width="9.140625" customWidth="1"/>
  </cols>
  <sheetData>
    <row r="1" spans="1:11">
      <c r="A1" s="122" t="s">
        <v>147</v>
      </c>
      <c r="B1" s="122" t="s">
        <v>148</v>
      </c>
      <c r="C1" s="122" t="s">
        <v>149</v>
      </c>
      <c r="D1" s="122" t="s">
        <v>150</v>
      </c>
      <c r="E1" s="122" t="s">
        <v>151</v>
      </c>
      <c r="G1" s="232" t="s">
        <v>259</v>
      </c>
      <c r="H1" s="233" t="s">
        <v>334</v>
      </c>
      <c r="I1" s="234" t="s">
        <v>260</v>
      </c>
      <c r="J1" s="235" t="s">
        <v>262</v>
      </c>
      <c r="K1" s="236" t="s">
        <v>261</v>
      </c>
    </row>
    <row r="2" spans="1:11">
      <c r="A2" s="124" t="s">
        <v>14</v>
      </c>
      <c r="B2" s="125" t="s">
        <v>152</v>
      </c>
      <c r="C2" s="124" t="s">
        <v>15</v>
      </c>
      <c r="D2" s="126">
        <v>0.18</v>
      </c>
      <c r="E2" s="200">
        <v>6.25</v>
      </c>
      <c r="G2" s="238">
        <f>E27+E28+E31+E34+E38+E40+E41+E48+E53+E62+E44</f>
        <v>2492.19</v>
      </c>
      <c r="H2" s="239">
        <f>E4</f>
        <v>133.03</v>
      </c>
      <c r="I2" s="240">
        <v>0</v>
      </c>
      <c r="J2" s="241">
        <v>0</v>
      </c>
      <c r="K2" s="242">
        <v>0</v>
      </c>
    </row>
    <row r="3" spans="1:11">
      <c r="A3" s="124" t="s">
        <v>506</v>
      </c>
      <c r="B3" s="125" t="s">
        <v>152</v>
      </c>
      <c r="C3" s="124" t="s">
        <v>15</v>
      </c>
      <c r="D3" s="126">
        <v>0.56999999999999995</v>
      </c>
      <c r="E3" s="200">
        <v>19.260000000000002</v>
      </c>
      <c r="G3" s="243"/>
      <c r="H3" s="231" t="s">
        <v>263</v>
      </c>
      <c r="I3" s="243"/>
      <c r="J3" s="243"/>
      <c r="K3" s="243"/>
    </row>
    <row r="4" spans="1:11">
      <c r="A4" s="272" t="s">
        <v>507</v>
      </c>
      <c r="B4" s="273" t="s">
        <v>152</v>
      </c>
      <c r="C4" s="272" t="s">
        <v>15</v>
      </c>
      <c r="D4" s="274">
        <v>4.7</v>
      </c>
      <c r="E4" s="294">
        <v>133.03</v>
      </c>
      <c r="F4" t="s">
        <v>508</v>
      </c>
      <c r="G4" s="244"/>
      <c r="H4" s="244"/>
      <c r="I4" s="244"/>
      <c r="J4" s="244"/>
      <c r="K4" s="244"/>
    </row>
    <row r="5" spans="1:11">
      <c r="A5" s="124" t="s">
        <v>389</v>
      </c>
      <c r="B5" s="125" t="s">
        <v>152</v>
      </c>
      <c r="C5" s="124" t="s">
        <v>15</v>
      </c>
      <c r="D5" s="126">
        <v>1.58</v>
      </c>
      <c r="E5" s="200">
        <v>51.51</v>
      </c>
      <c r="G5" s="231"/>
      <c r="H5" s="231" t="s">
        <v>461</v>
      </c>
      <c r="I5" s="231"/>
      <c r="J5" s="231"/>
      <c r="K5" s="231"/>
    </row>
    <row r="6" spans="1:11" ht="15">
      <c r="A6" s="124" t="s">
        <v>434</v>
      </c>
      <c r="B6" s="125">
        <v>400020</v>
      </c>
      <c r="C6" s="124" t="s">
        <v>98</v>
      </c>
      <c r="D6" s="126">
        <v>0.18</v>
      </c>
      <c r="E6" s="200">
        <v>6.01</v>
      </c>
      <c r="G6" s="231"/>
      <c r="H6" s="247" t="s">
        <v>454</v>
      </c>
      <c r="I6" s="231"/>
      <c r="J6" s="231"/>
      <c r="K6" s="231"/>
    </row>
    <row r="7" spans="1:11" ht="15">
      <c r="A7" s="124" t="s">
        <v>545</v>
      </c>
      <c r="B7" s="125" t="s">
        <v>152</v>
      </c>
      <c r="C7" s="124" t="s">
        <v>15</v>
      </c>
      <c r="D7" s="126">
        <v>0.4</v>
      </c>
      <c r="E7" s="200">
        <v>12</v>
      </c>
      <c r="G7" s="231"/>
      <c r="H7" s="248" t="s">
        <v>455</v>
      </c>
      <c r="I7" s="231"/>
      <c r="J7" s="231"/>
      <c r="K7" s="231"/>
    </row>
    <row r="8" spans="1:11">
      <c r="A8" s="124" t="s">
        <v>496</v>
      </c>
      <c r="B8" s="125" t="s">
        <v>152</v>
      </c>
      <c r="C8" s="124" t="s">
        <v>15</v>
      </c>
      <c r="D8" s="126">
        <v>1.52</v>
      </c>
      <c r="E8" s="200">
        <v>48.73</v>
      </c>
    </row>
    <row r="9" spans="1:11">
      <c r="A9" s="124" t="s">
        <v>377</v>
      </c>
      <c r="B9" s="125" t="s">
        <v>152</v>
      </c>
      <c r="C9" s="124" t="s">
        <v>15</v>
      </c>
      <c r="D9" s="126">
        <v>1.2</v>
      </c>
      <c r="E9" s="200">
        <v>41.35</v>
      </c>
    </row>
    <row r="10" spans="1:11">
      <c r="A10" s="124" t="s">
        <v>469</v>
      </c>
      <c r="B10" s="125" t="s">
        <v>152</v>
      </c>
      <c r="C10" s="124" t="s">
        <v>15</v>
      </c>
      <c r="D10" s="126">
        <v>0.08</v>
      </c>
      <c r="E10" s="200">
        <v>2.81</v>
      </c>
    </row>
    <row r="11" spans="1:11">
      <c r="A11" s="124" t="s">
        <v>556</v>
      </c>
      <c r="B11" s="125" t="s">
        <v>152</v>
      </c>
      <c r="C11" s="124" t="s">
        <v>15</v>
      </c>
      <c r="D11" s="126">
        <v>0.02</v>
      </c>
      <c r="E11" s="200">
        <v>0.53</v>
      </c>
    </row>
    <row r="12" spans="1:11">
      <c r="A12" s="124" t="s">
        <v>426</v>
      </c>
      <c r="B12" s="125">
        <v>290020</v>
      </c>
      <c r="C12" s="124" t="s">
        <v>373</v>
      </c>
      <c r="D12" s="126">
        <v>0.17</v>
      </c>
      <c r="E12" s="200">
        <v>5.74</v>
      </c>
    </row>
    <row r="13" spans="1:11">
      <c r="A13" s="127" t="s">
        <v>7</v>
      </c>
      <c r="B13" s="124"/>
      <c r="C13" s="124"/>
      <c r="D13" s="131">
        <f>SUM(D2:D12)</f>
        <v>10.6</v>
      </c>
      <c r="E13" s="129">
        <f>SUM(E2:E12)</f>
        <v>327.21999999999997</v>
      </c>
    </row>
    <row r="14" spans="1:11">
      <c r="A14" s="127"/>
      <c r="B14" s="124"/>
      <c r="C14" s="124"/>
      <c r="D14" s="131"/>
      <c r="E14" s="129"/>
    </row>
    <row r="15" spans="1:11">
      <c r="A15" s="124" t="s">
        <v>501</v>
      </c>
      <c r="B15" s="125" t="s">
        <v>154</v>
      </c>
      <c r="C15" s="124" t="s">
        <v>23</v>
      </c>
      <c r="D15" s="126">
        <v>0.38</v>
      </c>
      <c r="E15" s="200">
        <v>14.66</v>
      </c>
    </row>
    <row r="16" spans="1:11">
      <c r="A16" s="124" t="s">
        <v>488</v>
      </c>
      <c r="B16" s="125" t="s">
        <v>154</v>
      </c>
      <c r="C16" s="124" t="s">
        <v>23</v>
      </c>
      <c r="D16" s="126">
        <v>0.23</v>
      </c>
      <c r="E16" s="200">
        <v>8.93</v>
      </c>
    </row>
    <row r="17" spans="1:6">
      <c r="A17" s="124" t="s">
        <v>494</v>
      </c>
      <c r="B17" s="125">
        <v>400035</v>
      </c>
      <c r="C17" s="124" t="s">
        <v>541</v>
      </c>
      <c r="D17" s="126">
        <v>0.77</v>
      </c>
      <c r="E17" s="200">
        <v>30.8</v>
      </c>
    </row>
    <row r="18" spans="1:6">
      <c r="A18" s="127" t="s">
        <v>7</v>
      </c>
      <c r="B18" s="124"/>
      <c r="C18" s="124"/>
      <c r="D18" s="131">
        <f>SUM(D15:D17)</f>
        <v>1.38</v>
      </c>
      <c r="E18" s="129">
        <f>SUM(E15:E17)</f>
        <v>54.39</v>
      </c>
    </row>
    <row r="19" spans="1:6">
      <c r="A19" s="127"/>
      <c r="B19" s="125"/>
      <c r="C19" s="124"/>
      <c r="D19" s="131"/>
      <c r="E19" s="129"/>
    </row>
    <row r="20" spans="1:6">
      <c r="A20" s="124" t="s">
        <v>471</v>
      </c>
      <c r="B20" s="125" t="s">
        <v>155</v>
      </c>
      <c r="C20" s="124" t="s">
        <v>196</v>
      </c>
      <c r="D20" s="126">
        <v>0.88</v>
      </c>
      <c r="E20" s="200">
        <v>31.08</v>
      </c>
    </row>
    <row r="21" spans="1:6">
      <c r="A21" s="124" t="s">
        <v>415</v>
      </c>
      <c r="B21" s="125" t="s">
        <v>155</v>
      </c>
      <c r="C21" s="124" t="s">
        <v>196</v>
      </c>
      <c r="D21" s="126">
        <v>0.1</v>
      </c>
      <c r="E21" s="200">
        <v>3.41</v>
      </c>
    </row>
    <row r="22" spans="1:6">
      <c r="A22" s="127" t="s">
        <v>7</v>
      </c>
      <c r="B22" s="124"/>
      <c r="C22" s="124"/>
      <c r="D22" s="131">
        <f>SUM(D20:D21)</f>
        <v>0.98</v>
      </c>
      <c r="E22" s="129">
        <f>SUM(E20:E21)</f>
        <v>34.489999999999995</v>
      </c>
    </row>
    <row r="23" spans="1:6">
      <c r="A23" s="127"/>
      <c r="B23" s="124"/>
      <c r="C23" s="124"/>
      <c r="D23" s="131"/>
      <c r="E23" s="129"/>
    </row>
    <row r="24" spans="1:6">
      <c r="A24" s="124" t="s">
        <v>94</v>
      </c>
      <c r="B24" s="125" t="s">
        <v>156</v>
      </c>
      <c r="C24" s="124" t="s">
        <v>91</v>
      </c>
      <c r="D24" s="126">
        <v>0.42</v>
      </c>
      <c r="E24" s="200">
        <v>13.39</v>
      </c>
    </row>
    <row r="25" spans="1:6">
      <c r="A25" s="127" t="s">
        <v>7</v>
      </c>
      <c r="B25" s="124"/>
      <c r="C25" s="124"/>
      <c r="D25" s="131">
        <f>SUM(D24)</f>
        <v>0.42</v>
      </c>
      <c r="E25" s="129">
        <f>SUM(E24)</f>
        <v>13.39</v>
      </c>
    </row>
    <row r="26" spans="1:6">
      <c r="A26" s="124"/>
      <c r="B26" s="124"/>
      <c r="C26" s="124"/>
      <c r="D26" s="126"/>
      <c r="E26" s="200"/>
    </row>
    <row r="27" spans="1:6">
      <c r="A27" s="140" t="s">
        <v>391</v>
      </c>
      <c r="B27" s="141" t="s">
        <v>157</v>
      </c>
      <c r="C27" s="140" t="s">
        <v>66</v>
      </c>
      <c r="D27" s="142">
        <v>9.9700000000000006</v>
      </c>
      <c r="E27" s="202">
        <v>277.17</v>
      </c>
      <c r="F27" t="s">
        <v>508</v>
      </c>
    </row>
    <row r="28" spans="1:6">
      <c r="A28" s="140" t="s">
        <v>228</v>
      </c>
      <c r="B28" s="141" t="s">
        <v>157</v>
      </c>
      <c r="C28" s="140" t="s">
        <v>66</v>
      </c>
      <c r="D28" s="142">
        <v>5.58</v>
      </c>
      <c r="E28" s="202">
        <v>147.99</v>
      </c>
      <c r="F28" t="s">
        <v>508</v>
      </c>
    </row>
    <row r="29" spans="1:6">
      <c r="A29" s="124" t="s">
        <v>557</v>
      </c>
      <c r="B29" s="125" t="s">
        <v>157</v>
      </c>
      <c r="C29" s="124" t="s">
        <v>66</v>
      </c>
      <c r="D29" s="126">
        <v>1.77</v>
      </c>
      <c r="E29" s="200">
        <v>42.4</v>
      </c>
    </row>
    <row r="30" spans="1:6">
      <c r="A30" s="124" t="s">
        <v>558</v>
      </c>
      <c r="B30" s="125" t="s">
        <v>157</v>
      </c>
      <c r="C30" s="124" t="s">
        <v>66</v>
      </c>
      <c r="D30" s="126">
        <v>0.6</v>
      </c>
      <c r="E30" s="200">
        <v>13.95</v>
      </c>
    </row>
    <row r="31" spans="1:6">
      <c r="A31" s="140" t="s">
        <v>509</v>
      </c>
      <c r="B31" s="141" t="s">
        <v>157</v>
      </c>
      <c r="C31" s="140" t="s">
        <v>66</v>
      </c>
      <c r="D31" s="142">
        <v>5.2</v>
      </c>
      <c r="E31" s="202">
        <v>127.3</v>
      </c>
      <c r="F31" t="s">
        <v>508</v>
      </c>
    </row>
    <row r="32" spans="1:6">
      <c r="A32" s="124" t="s">
        <v>75</v>
      </c>
      <c r="B32" s="125" t="s">
        <v>157</v>
      </c>
      <c r="C32" s="124" t="s">
        <v>66</v>
      </c>
      <c r="D32" s="126">
        <v>1.03</v>
      </c>
      <c r="E32" s="200">
        <v>31.78</v>
      </c>
    </row>
    <row r="33" spans="1:6">
      <c r="A33" s="124" t="s">
        <v>210</v>
      </c>
      <c r="B33" s="125" t="s">
        <v>157</v>
      </c>
      <c r="C33" s="124" t="s">
        <v>66</v>
      </c>
      <c r="D33" s="126">
        <v>0.12</v>
      </c>
      <c r="E33" s="200">
        <v>3.09</v>
      </c>
    </row>
    <row r="34" spans="1:6">
      <c r="A34" s="140" t="s">
        <v>472</v>
      </c>
      <c r="B34" s="141" t="s">
        <v>157</v>
      </c>
      <c r="C34" s="140" t="s">
        <v>66</v>
      </c>
      <c r="D34" s="142">
        <v>11.27</v>
      </c>
      <c r="E34" s="202">
        <v>278.51</v>
      </c>
      <c r="F34" t="s">
        <v>508</v>
      </c>
    </row>
    <row r="35" spans="1:6">
      <c r="A35" s="124" t="s">
        <v>86</v>
      </c>
      <c r="B35" s="125" t="s">
        <v>157</v>
      </c>
      <c r="C35" s="124" t="s">
        <v>66</v>
      </c>
      <c r="D35" s="126">
        <v>3.27</v>
      </c>
      <c r="E35" s="200">
        <v>93.39</v>
      </c>
    </row>
    <row r="36" spans="1:6">
      <c r="A36" s="124" t="s">
        <v>464</v>
      </c>
      <c r="B36" s="125" t="s">
        <v>157</v>
      </c>
      <c r="C36" s="124" t="s">
        <v>66</v>
      </c>
      <c r="D36" s="126">
        <v>3.97</v>
      </c>
      <c r="E36" s="200">
        <v>104.13</v>
      </c>
    </row>
    <row r="37" spans="1:6">
      <c r="A37" s="124" t="s">
        <v>407</v>
      </c>
      <c r="B37" s="125" t="s">
        <v>157</v>
      </c>
      <c r="C37" s="124" t="s">
        <v>66</v>
      </c>
      <c r="D37" s="126">
        <v>0.22</v>
      </c>
      <c r="E37" s="200">
        <v>5.58</v>
      </c>
    </row>
    <row r="38" spans="1:6">
      <c r="A38" s="148" t="s">
        <v>328</v>
      </c>
      <c r="B38" s="149" t="s">
        <v>157</v>
      </c>
      <c r="C38" s="148" t="s">
        <v>66</v>
      </c>
      <c r="D38" s="150">
        <v>6.8</v>
      </c>
      <c r="E38" s="202">
        <v>191.25</v>
      </c>
      <c r="F38" t="s">
        <v>508</v>
      </c>
    </row>
    <row r="39" spans="1:6">
      <c r="A39" s="123" t="s">
        <v>458</v>
      </c>
      <c r="B39" s="132" t="s">
        <v>157</v>
      </c>
      <c r="C39" s="123" t="s">
        <v>66</v>
      </c>
      <c r="D39" s="133">
        <v>0.28000000000000003</v>
      </c>
      <c r="E39" s="200">
        <v>8.2899999999999991</v>
      </c>
    </row>
    <row r="40" spans="1:6">
      <c r="A40" s="148" t="s">
        <v>270</v>
      </c>
      <c r="B40" s="149" t="s">
        <v>157</v>
      </c>
      <c r="C40" s="148" t="s">
        <v>66</v>
      </c>
      <c r="D40" s="150">
        <v>4.25</v>
      </c>
      <c r="E40" s="202">
        <v>130.56</v>
      </c>
      <c r="F40" t="s">
        <v>508</v>
      </c>
    </row>
    <row r="41" spans="1:6">
      <c r="A41" s="148" t="s">
        <v>79</v>
      </c>
      <c r="B41" s="149" t="s">
        <v>157</v>
      </c>
      <c r="C41" s="148" t="s">
        <v>66</v>
      </c>
      <c r="D41" s="148">
        <v>4.68</v>
      </c>
      <c r="E41" s="202">
        <v>128.21</v>
      </c>
      <c r="F41" t="s">
        <v>508</v>
      </c>
    </row>
    <row r="42" spans="1:6">
      <c r="A42" s="123" t="s">
        <v>483</v>
      </c>
      <c r="B42" s="132" t="s">
        <v>157</v>
      </c>
      <c r="C42" s="123" t="s">
        <v>66</v>
      </c>
      <c r="D42" s="123">
        <v>0.72</v>
      </c>
      <c r="E42" s="200">
        <v>17.54</v>
      </c>
    </row>
    <row r="43" spans="1:6">
      <c r="A43" s="123" t="s">
        <v>375</v>
      </c>
      <c r="B43" s="132" t="s">
        <v>157</v>
      </c>
      <c r="C43" s="123" t="s">
        <v>66</v>
      </c>
      <c r="D43" s="123">
        <v>3.27</v>
      </c>
      <c r="E43" s="200">
        <v>88.35</v>
      </c>
    </row>
    <row r="44" spans="1:6">
      <c r="A44" s="148" t="s">
        <v>516</v>
      </c>
      <c r="B44" s="149" t="s">
        <v>157</v>
      </c>
      <c r="C44" s="148" t="s">
        <v>66</v>
      </c>
      <c r="D44" s="150">
        <v>5.88</v>
      </c>
      <c r="E44" s="202">
        <v>139.52000000000001</v>
      </c>
      <c r="F44" t="s">
        <v>508</v>
      </c>
    </row>
    <row r="45" spans="1:6">
      <c r="A45" s="123" t="s">
        <v>412</v>
      </c>
      <c r="B45" s="132" t="s">
        <v>157</v>
      </c>
      <c r="C45" s="123" t="s">
        <v>66</v>
      </c>
      <c r="D45" s="133">
        <v>0.56999999999999995</v>
      </c>
      <c r="E45" s="200">
        <v>14.03</v>
      </c>
    </row>
    <row r="46" spans="1:6">
      <c r="A46" s="127" t="s">
        <v>7</v>
      </c>
      <c r="B46" s="124"/>
      <c r="C46" s="124"/>
      <c r="D46" s="131">
        <f>SUM(D27:D45)</f>
        <v>69.45</v>
      </c>
      <c r="E46" s="129">
        <f>SUM(E27:E45)</f>
        <v>1843.0399999999997</v>
      </c>
    </row>
    <row r="47" spans="1:6">
      <c r="A47" s="127"/>
      <c r="B47" s="124"/>
      <c r="C47" s="124"/>
      <c r="D47" s="131"/>
      <c r="E47" s="129"/>
    </row>
    <row r="48" spans="1:6">
      <c r="A48" s="140" t="s">
        <v>163</v>
      </c>
      <c r="B48" s="141" t="s">
        <v>162</v>
      </c>
      <c r="C48" s="140" t="s">
        <v>51</v>
      </c>
      <c r="D48" s="142">
        <v>7.55</v>
      </c>
      <c r="E48" s="202">
        <v>259.12</v>
      </c>
      <c r="F48" t="s">
        <v>508</v>
      </c>
    </row>
    <row r="49" spans="1:6">
      <c r="A49" s="127" t="s">
        <v>7</v>
      </c>
      <c r="B49" s="125"/>
      <c r="C49" s="124"/>
      <c r="D49" s="131">
        <f>SUM(D48:D48)</f>
        <v>7.55</v>
      </c>
      <c r="E49" s="129">
        <f>SUM(E48:E48)</f>
        <v>259.12</v>
      </c>
    </row>
    <row r="50" spans="1:6">
      <c r="A50" s="127"/>
      <c r="B50" s="124"/>
      <c r="C50" s="124"/>
      <c r="D50" s="131"/>
      <c r="E50" s="129"/>
    </row>
    <row r="51" spans="1:6">
      <c r="A51" s="124" t="s">
        <v>203</v>
      </c>
      <c r="B51" s="125" t="s">
        <v>164</v>
      </c>
      <c r="C51" s="124" t="s">
        <v>60</v>
      </c>
      <c r="D51" s="126">
        <v>1.18</v>
      </c>
      <c r="E51" s="200">
        <v>27.69</v>
      </c>
    </row>
    <row r="52" spans="1:6">
      <c r="A52" s="124" t="s">
        <v>548</v>
      </c>
      <c r="B52" s="125" t="s">
        <v>164</v>
      </c>
      <c r="C52" s="124" t="s">
        <v>60</v>
      </c>
      <c r="D52" s="126">
        <v>1.62</v>
      </c>
      <c r="E52" s="200">
        <v>35.159999999999997</v>
      </c>
    </row>
    <row r="53" spans="1:6">
      <c r="A53" s="140" t="s">
        <v>64</v>
      </c>
      <c r="B53" s="141" t="s">
        <v>164</v>
      </c>
      <c r="C53" s="140" t="s">
        <v>60</v>
      </c>
      <c r="D53" s="142">
        <v>19.079999999999998</v>
      </c>
      <c r="E53" s="202">
        <v>446.55</v>
      </c>
      <c r="F53" t="s">
        <v>508</v>
      </c>
    </row>
    <row r="54" spans="1:6">
      <c r="A54" s="127" t="s">
        <v>7</v>
      </c>
      <c r="B54" s="124"/>
      <c r="C54" s="124"/>
      <c r="D54" s="131">
        <f>SUM(D51:D53)</f>
        <v>21.88</v>
      </c>
      <c r="E54" s="129">
        <f>SUM(E51:E53)</f>
        <v>509.4</v>
      </c>
    </row>
    <row r="55" spans="1:6">
      <c r="A55" s="127"/>
      <c r="B55" s="124"/>
      <c r="C55" s="124"/>
      <c r="D55" s="131"/>
      <c r="E55" s="129"/>
    </row>
    <row r="56" spans="1:6">
      <c r="A56" s="124" t="s">
        <v>528</v>
      </c>
      <c r="B56" s="125" t="s">
        <v>165</v>
      </c>
      <c r="C56" s="124" t="s">
        <v>45</v>
      </c>
      <c r="D56" s="126">
        <v>0.18</v>
      </c>
      <c r="E56" s="200">
        <v>4.68</v>
      </c>
    </row>
    <row r="57" spans="1:6">
      <c r="A57" s="127" t="s">
        <v>7</v>
      </c>
      <c r="B57" s="124"/>
      <c r="C57" s="124"/>
      <c r="D57" s="131">
        <f>SUM(D56:D56)</f>
        <v>0.18</v>
      </c>
      <c r="E57" s="129">
        <f>SUM(E56:E56)</f>
        <v>4.68</v>
      </c>
    </row>
    <row r="58" spans="1:6">
      <c r="A58" s="127"/>
      <c r="B58" s="124"/>
      <c r="C58" s="124"/>
      <c r="D58" s="131"/>
      <c r="E58" s="129"/>
    </row>
    <row r="59" spans="1:6">
      <c r="A59" s="124" t="s">
        <v>166</v>
      </c>
      <c r="B59" s="125" t="s">
        <v>167</v>
      </c>
      <c r="C59" s="124" t="s">
        <v>54</v>
      </c>
      <c r="D59" s="126">
        <v>0.5</v>
      </c>
      <c r="E59" s="200">
        <v>12.75</v>
      </c>
    </row>
    <row r="60" spans="1:6">
      <c r="A60" s="124" t="s">
        <v>559</v>
      </c>
      <c r="B60" s="125" t="s">
        <v>167</v>
      </c>
      <c r="C60" s="124" t="s">
        <v>54</v>
      </c>
      <c r="D60" s="126">
        <v>1</v>
      </c>
      <c r="E60" s="200">
        <v>24</v>
      </c>
    </row>
    <row r="61" spans="1:6">
      <c r="A61" s="124" t="s">
        <v>549</v>
      </c>
      <c r="B61" s="125" t="s">
        <v>167</v>
      </c>
      <c r="C61" s="124" t="s">
        <v>54</v>
      </c>
      <c r="D61" s="126">
        <v>0.57999999999999996</v>
      </c>
      <c r="E61" s="200">
        <v>15.31</v>
      </c>
    </row>
    <row r="62" spans="1:6">
      <c r="A62" s="140" t="s">
        <v>292</v>
      </c>
      <c r="B62" s="141" t="s">
        <v>167</v>
      </c>
      <c r="C62" s="140" t="s">
        <v>54</v>
      </c>
      <c r="D62" s="142">
        <v>13.53</v>
      </c>
      <c r="E62" s="202">
        <v>366.01</v>
      </c>
      <c r="F62" t="s">
        <v>508</v>
      </c>
    </row>
    <row r="63" spans="1:6">
      <c r="A63" s="124" t="s">
        <v>429</v>
      </c>
      <c r="B63" s="125" t="s">
        <v>167</v>
      </c>
      <c r="C63" s="124" t="s">
        <v>54</v>
      </c>
      <c r="D63" s="126">
        <v>3.87</v>
      </c>
      <c r="E63" s="200">
        <v>104.57</v>
      </c>
    </row>
    <row r="64" spans="1:6">
      <c r="A64" s="127" t="s">
        <v>7</v>
      </c>
      <c r="B64" s="125"/>
      <c r="C64" s="124"/>
      <c r="D64" s="131">
        <f>SUM(D59:D63)</f>
        <v>19.48</v>
      </c>
      <c r="E64" s="129">
        <f>SUM(E59:E63)</f>
        <v>522.64</v>
      </c>
    </row>
    <row r="65" spans="1:5">
      <c r="A65" s="127"/>
      <c r="B65" s="125"/>
      <c r="C65" s="124"/>
      <c r="D65" s="131"/>
      <c r="E65" s="129"/>
    </row>
    <row r="66" spans="1:5">
      <c r="A66" s="124" t="s">
        <v>550</v>
      </c>
      <c r="B66" s="125" t="s">
        <v>240</v>
      </c>
      <c r="C66" s="124" t="s">
        <v>241</v>
      </c>
      <c r="D66" s="126">
        <v>2.0299999999999998</v>
      </c>
      <c r="E66" s="200">
        <v>76.25</v>
      </c>
    </row>
    <row r="67" spans="1:5">
      <c r="A67" s="127" t="s">
        <v>7</v>
      </c>
      <c r="B67" s="125"/>
      <c r="C67" s="124"/>
      <c r="D67" s="131">
        <f>SUM(D66)</f>
        <v>2.0299999999999998</v>
      </c>
      <c r="E67" s="129">
        <f>SUM(E66)</f>
        <v>76.25</v>
      </c>
    </row>
    <row r="68" spans="1:5">
      <c r="A68" s="127"/>
      <c r="B68" s="125"/>
      <c r="C68" s="124"/>
      <c r="D68" s="131"/>
      <c r="E68" s="129"/>
    </row>
    <row r="69" spans="1:5">
      <c r="A69" s="124" t="s">
        <v>459</v>
      </c>
      <c r="B69" s="125" t="s">
        <v>171</v>
      </c>
      <c r="C69" s="124" t="s">
        <v>25</v>
      </c>
      <c r="D69" s="126">
        <v>1</v>
      </c>
      <c r="E69" s="200">
        <v>32.450000000000003</v>
      </c>
    </row>
    <row r="70" spans="1:5">
      <c r="A70" s="124" t="s">
        <v>493</v>
      </c>
      <c r="B70" s="125" t="s">
        <v>171</v>
      </c>
      <c r="C70" s="124" t="s">
        <v>25</v>
      </c>
      <c r="D70" s="126">
        <v>0.2</v>
      </c>
      <c r="E70" s="200">
        <v>6.43</v>
      </c>
    </row>
    <row r="71" spans="1:5">
      <c r="A71" s="124" t="s">
        <v>551</v>
      </c>
      <c r="B71" s="125" t="s">
        <v>171</v>
      </c>
      <c r="C71" s="124" t="s">
        <v>25</v>
      </c>
      <c r="D71" s="126">
        <v>0.18</v>
      </c>
      <c r="E71" s="200">
        <v>5.78</v>
      </c>
    </row>
    <row r="72" spans="1:5">
      <c r="A72" s="124" t="s">
        <v>512</v>
      </c>
      <c r="B72" s="125" t="s">
        <v>171</v>
      </c>
      <c r="C72" s="124" t="s">
        <v>25</v>
      </c>
      <c r="D72" s="126">
        <v>0.25</v>
      </c>
      <c r="E72" s="200">
        <v>8.0299999999999994</v>
      </c>
    </row>
    <row r="73" spans="1:5">
      <c r="A73" s="124" t="s">
        <v>505</v>
      </c>
      <c r="B73" s="125" t="s">
        <v>171</v>
      </c>
      <c r="C73" s="124" t="s">
        <v>25</v>
      </c>
      <c r="D73" s="126">
        <v>1.07</v>
      </c>
      <c r="E73" s="200">
        <v>34.14</v>
      </c>
    </row>
    <row r="74" spans="1:5">
      <c r="A74" s="124" t="s">
        <v>500</v>
      </c>
      <c r="B74" s="125" t="s">
        <v>171</v>
      </c>
      <c r="C74" s="124" t="s">
        <v>25</v>
      </c>
      <c r="D74" s="126">
        <v>0.25</v>
      </c>
      <c r="E74" s="200">
        <v>7.65</v>
      </c>
    </row>
    <row r="75" spans="1:5">
      <c r="A75" s="124" t="s">
        <v>487</v>
      </c>
      <c r="B75" s="125" t="s">
        <v>171</v>
      </c>
      <c r="C75" s="124" t="s">
        <v>25</v>
      </c>
      <c r="D75" s="126">
        <v>0.23</v>
      </c>
      <c r="E75" s="200">
        <v>8.11</v>
      </c>
    </row>
    <row r="76" spans="1:5">
      <c r="A76" s="124" t="s">
        <v>397</v>
      </c>
      <c r="B76" s="125" t="s">
        <v>171</v>
      </c>
      <c r="C76" s="124" t="s">
        <v>25</v>
      </c>
      <c r="D76" s="126">
        <v>0.63</v>
      </c>
      <c r="E76" s="200">
        <v>20.62</v>
      </c>
    </row>
    <row r="77" spans="1:5">
      <c r="A77" s="127" t="s">
        <v>7</v>
      </c>
      <c r="B77" s="124"/>
      <c r="C77" s="124"/>
      <c r="D77" s="131">
        <f>SUM(D69:D76)</f>
        <v>3.81</v>
      </c>
      <c r="E77" s="129">
        <f>SUM(E69:E76)</f>
        <v>123.21000000000002</v>
      </c>
    </row>
    <row r="78" spans="1:5">
      <c r="A78" s="127"/>
      <c r="B78" s="124"/>
      <c r="C78" s="124"/>
      <c r="D78" s="131"/>
      <c r="E78" s="129"/>
    </row>
    <row r="79" spans="1:5">
      <c r="A79" s="124" t="s">
        <v>413</v>
      </c>
      <c r="B79" s="125" t="s">
        <v>172</v>
      </c>
      <c r="C79" s="124" t="s">
        <v>12</v>
      </c>
      <c r="D79" s="126">
        <v>1.03</v>
      </c>
      <c r="E79" s="200">
        <v>37.93</v>
      </c>
    </row>
    <row r="80" spans="1:5">
      <c r="A80" s="127" t="s">
        <v>7</v>
      </c>
      <c r="B80" s="124"/>
      <c r="C80" s="124"/>
      <c r="D80" s="131">
        <f>SUM(D79:D79)</f>
        <v>1.03</v>
      </c>
      <c r="E80" s="129">
        <f>SUM(E79:E79)</f>
        <v>37.93</v>
      </c>
    </row>
    <row r="81" spans="1:5">
      <c r="A81" s="127"/>
      <c r="B81" s="124"/>
      <c r="C81" s="124"/>
      <c r="D81" s="131"/>
      <c r="E81" s="129"/>
    </row>
    <row r="82" spans="1:5">
      <c r="A82" s="124" t="s">
        <v>552</v>
      </c>
      <c r="B82" s="124">
        <v>100051</v>
      </c>
      <c r="C82" s="124" t="s">
        <v>34</v>
      </c>
      <c r="D82" s="126">
        <v>0.18</v>
      </c>
      <c r="E82" s="200">
        <v>3.99</v>
      </c>
    </row>
    <row r="83" spans="1:5">
      <c r="A83" s="124" t="s">
        <v>274</v>
      </c>
      <c r="B83" s="124">
        <v>100051</v>
      </c>
      <c r="C83" s="124" t="s">
        <v>34</v>
      </c>
      <c r="D83" s="126">
        <v>0.67</v>
      </c>
      <c r="E83" s="200">
        <v>14.75</v>
      </c>
    </row>
    <row r="84" spans="1:5">
      <c r="A84" s="124" t="s">
        <v>41</v>
      </c>
      <c r="B84" s="124">
        <v>100051</v>
      </c>
      <c r="C84" s="124" t="s">
        <v>34</v>
      </c>
      <c r="D84" s="126">
        <v>0.32</v>
      </c>
      <c r="E84" s="200">
        <v>8.89</v>
      </c>
    </row>
    <row r="85" spans="1:5">
      <c r="A85" s="127" t="s">
        <v>7</v>
      </c>
      <c r="B85" s="124"/>
      <c r="C85" s="124"/>
      <c r="D85" s="131">
        <f>SUM(D82:D84)</f>
        <v>1.1700000000000002</v>
      </c>
      <c r="E85" s="129">
        <f>SUM(E82:E84)</f>
        <v>27.630000000000003</v>
      </c>
    </row>
    <row r="86" spans="1:5">
      <c r="A86" s="127"/>
      <c r="B86" s="124"/>
      <c r="C86" s="124"/>
      <c r="D86" s="131"/>
      <c r="E86" s="129"/>
    </row>
    <row r="87" spans="1:5">
      <c r="A87" s="124" t="s">
        <v>369</v>
      </c>
      <c r="B87" s="124">
        <v>450044</v>
      </c>
      <c r="C87" s="124" t="s">
        <v>519</v>
      </c>
      <c r="D87" s="126">
        <v>2.42</v>
      </c>
      <c r="E87" s="200">
        <v>65.25</v>
      </c>
    </row>
    <row r="88" spans="1:5">
      <c r="A88" s="127" t="s">
        <v>7</v>
      </c>
      <c r="B88" s="124"/>
      <c r="C88" s="124"/>
      <c r="D88" s="131">
        <f>SUM(D87)</f>
        <v>2.42</v>
      </c>
      <c r="E88" s="129">
        <f>SUM(E87)</f>
        <v>65.25</v>
      </c>
    </row>
    <row r="89" spans="1:5">
      <c r="A89" s="127"/>
      <c r="B89" s="124"/>
      <c r="C89" s="124"/>
      <c r="D89" s="131"/>
      <c r="E89" s="129"/>
    </row>
    <row r="90" spans="1:5">
      <c r="A90" s="124" t="s">
        <v>475</v>
      </c>
      <c r="B90" s="124" t="s">
        <v>476</v>
      </c>
      <c r="C90" s="124" t="s">
        <v>477</v>
      </c>
      <c r="D90" s="126">
        <v>1.4</v>
      </c>
      <c r="E90" s="200">
        <v>52</v>
      </c>
    </row>
    <row r="91" spans="1:5">
      <c r="A91" s="127" t="s">
        <v>7</v>
      </c>
      <c r="B91" s="124"/>
      <c r="C91" s="124"/>
      <c r="D91" s="131">
        <f>SUM(D90)</f>
        <v>1.4</v>
      </c>
      <c r="E91" s="129">
        <f>SUM(E90)</f>
        <v>52</v>
      </c>
    </row>
    <row r="92" spans="1:5">
      <c r="A92" s="127"/>
      <c r="B92" s="124"/>
      <c r="C92" s="124"/>
      <c r="D92" s="131"/>
      <c r="E92" s="129"/>
    </row>
    <row r="93" spans="1:5">
      <c r="A93" s="122" t="s">
        <v>194</v>
      </c>
      <c r="B93" s="123"/>
      <c r="C93" s="123"/>
      <c r="D93" s="131">
        <f>D91+D88+D85+D80+D77+D67+D64+D57+D54+D49+D46+D25+D22+D18+D13</f>
        <v>143.77999999999997</v>
      </c>
      <c r="E93" s="131">
        <f>E91+E88+E85+E80+E77+E67+E64+E57+E54+E49+E46+E25+E22+E18+E13</f>
        <v>3950.639999999999</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07487-03A3-4773-82BC-362E8C7F8C68}">
  <dimension ref="A1:K107"/>
  <sheetViews>
    <sheetView workbookViewId="0">
      <selection activeCell="G1" sqref="G1:K6"/>
    </sheetView>
  </sheetViews>
  <sheetFormatPr defaultRowHeight="12.75"/>
  <cols>
    <col min="1" max="1" width="19.5703125" bestFit="1" customWidth="1"/>
    <col min="2" max="2" width="22.7109375" bestFit="1" customWidth="1"/>
    <col min="3" max="3" width="34.28515625" bestFit="1" customWidth="1"/>
    <col min="4" max="4" width="20.28515625" bestFit="1" customWidth="1"/>
    <col min="5" max="5" width="23" bestFit="1" customWidth="1"/>
    <col min="7" max="7" width="13" customWidth="1"/>
    <col min="8" max="8" width="16.7109375" customWidth="1"/>
    <col min="9" max="9" width="11.5703125" customWidth="1"/>
    <col min="10" max="10" width="11" customWidth="1"/>
  </cols>
  <sheetData>
    <row r="1" spans="1:11">
      <c r="A1" s="1" t="s">
        <v>147</v>
      </c>
      <c r="B1" s="1" t="s">
        <v>148</v>
      </c>
      <c r="C1" s="1" t="s">
        <v>149</v>
      </c>
      <c r="D1" s="1" t="s">
        <v>150</v>
      </c>
      <c r="E1" s="1" t="s">
        <v>151</v>
      </c>
      <c r="G1" s="232" t="s">
        <v>259</v>
      </c>
      <c r="H1" s="233" t="s">
        <v>334</v>
      </c>
      <c r="I1" s="234" t="s">
        <v>260</v>
      </c>
      <c r="J1" s="235" t="s">
        <v>262</v>
      </c>
      <c r="K1" s="236" t="s">
        <v>261</v>
      </c>
    </row>
    <row r="2" spans="1:11">
      <c r="A2" s="10" t="s">
        <v>14</v>
      </c>
      <c r="B2" s="10">
        <v>1020</v>
      </c>
      <c r="C2" s="10" t="s">
        <v>15</v>
      </c>
      <c r="D2" s="10">
        <v>0.03</v>
      </c>
      <c r="E2" s="295">
        <v>1.1399999999999999</v>
      </c>
      <c r="G2" s="238">
        <f>E22+E25+E26+E29+E30+E31++E39+E44+E53+E54+E57+E58+E61</f>
        <v>3862.82</v>
      </c>
      <c r="H2" s="239">
        <v>0</v>
      </c>
      <c r="I2" s="240">
        <v>0</v>
      </c>
      <c r="J2" s="241">
        <v>0</v>
      </c>
      <c r="K2" s="242">
        <v>0</v>
      </c>
    </row>
    <row r="3" spans="1:11">
      <c r="A3" s="10" t="s">
        <v>506</v>
      </c>
      <c r="B3" s="10">
        <v>1020</v>
      </c>
      <c r="C3" s="10" t="s">
        <v>15</v>
      </c>
      <c r="D3" s="10">
        <v>0.63</v>
      </c>
      <c r="E3" s="295">
        <v>21.53</v>
      </c>
      <c r="G3" s="243"/>
      <c r="H3" s="231" t="s">
        <v>263</v>
      </c>
      <c r="I3" s="243"/>
      <c r="J3" s="243"/>
      <c r="K3" s="243"/>
    </row>
    <row r="4" spans="1:11">
      <c r="A4" s="10" t="s">
        <v>507</v>
      </c>
      <c r="B4" s="10">
        <v>1020</v>
      </c>
      <c r="C4" s="10" t="s">
        <v>15</v>
      </c>
      <c r="D4" s="10">
        <v>1.9</v>
      </c>
      <c r="E4" s="295">
        <v>53.78</v>
      </c>
      <c r="G4" s="244"/>
      <c r="H4" s="244"/>
      <c r="I4" s="244"/>
      <c r="J4" s="244"/>
      <c r="K4" s="244"/>
    </row>
    <row r="5" spans="1:11">
      <c r="A5" s="10" t="s">
        <v>389</v>
      </c>
      <c r="B5" s="10">
        <v>1020</v>
      </c>
      <c r="C5" s="10" t="s">
        <v>15</v>
      </c>
      <c r="D5" s="10">
        <v>1.63</v>
      </c>
      <c r="E5" s="295">
        <v>53.14</v>
      </c>
      <c r="G5" s="231"/>
      <c r="H5" s="231" t="s">
        <v>461</v>
      </c>
      <c r="I5" s="231"/>
      <c r="J5" s="231"/>
      <c r="K5" s="231"/>
    </row>
    <row r="6" spans="1:11" ht="15">
      <c r="A6" s="10" t="s">
        <v>434</v>
      </c>
      <c r="B6" s="10">
        <v>400020</v>
      </c>
      <c r="C6" s="10" t="s">
        <v>98</v>
      </c>
      <c r="D6" s="10">
        <v>0.87</v>
      </c>
      <c r="E6" s="295">
        <v>28.42</v>
      </c>
      <c r="G6" s="231"/>
      <c r="H6" s="247" t="s">
        <v>454</v>
      </c>
      <c r="I6" s="231"/>
      <c r="J6" s="231"/>
      <c r="K6" s="231"/>
    </row>
    <row r="7" spans="1:11" ht="15">
      <c r="A7" s="10" t="s">
        <v>545</v>
      </c>
      <c r="B7" s="10">
        <v>1020</v>
      </c>
      <c r="C7" s="10" t="s">
        <v>15</v>
      </c>
      <c r="D7" s="10">
        <v>0.28000000000000003</v>
      </c>
      <c r="E7" s="295">
        <v>8.5</v>
      </c>
      <c r="G7" s="231"/>
      <c r="H7" s="248"/>
      <c r="I7" s="231"/>
      <c r="J7" s="231"/>
      <c r="K7" s="231"/>
    </row>
    <row r="8" spans="1:11">
      <c r="A8" s="10" t="s">
        <v>496</v>
      </c>
      <c r="B8" s="10">
        <v>1020</v>
      </c>
      <c r="C8" s="10" t="s">
        <v>15</v>
      </c>
      <c r="D8" s="10">
        <v>0.82</v>
      </c>
      <c r="E8" s="295">
        <v>26.24</v>
      </c>
    </row>
    <row r="9" spans="1:11">
      <c r="A9" s="10" t="s">
        <v>377</v>
      </c>
      <c r="B9" s="10">
        <v>1020</v>
      </c>
      <c r="C9" s="10" t="s">
        <v>15</v>
      </c>
      <c r="D9" s="10">
        <v>1.1200000000000001</v>
      </c>
      <c r="E9" s="295">
        <v>38.47</v>
      </c>
    </row>
    <row r="10" spans="1:11">
      <c r="A10" s="10" t="s">
        <v>469</v>
      </c>
      <c r="B10" s="10">
        <v>1020</v>
      </c>
      <c r="C10" s="10" t="s">
        <v>15</v>
      </c>
      <c r="D10" s="10">
        <v>0.05</v>
      </c>
      <c r="E10" s="295">
        <v>1.69</v>
      </c>
    </row>
    <row r="11" spans="1:11">
      <c r="A11" s="10" t="s">
        <v>556</v>
      </c>
      <c r="B11" s="10">
        <v>1020</v>
      </c>
      <c r="C11" s="10" t="s">
        <v>15</v>
      </c>
      <c r="D11" s="10">
        <v>7.0000000000000007E-2</v>
      </c>
      <c r="E11" s="295">
        <v>2.1</v>
      </c>
    </row>
    <row r="12" spans="1:11">
      <c r="A12" s="1" t="s">
        <v>7</v>
      </c>
      <c r="B12" s="10"/>
      <c r="C12" s="10"/>
      <c r="D12" s="1">
        <v>7.4</v>
      </c>
      <c r="E12" s="296">
        <v>235.01</v>
      </c>
    </row>
    <row r="13" spans="1:11">
      <c r="A13" s="1"/>
      <c r="B13" s="10"/>
      <c r="C13" s="10"/>
      <c r="D13" s="1"/>
      <c r="E13" s="1"/>
    </row>
    <row r="14" spans="1:11">
      <c r="A14" s="10" t="s">
        <v>307</v>
      </c>
      <c r="B14" s="10">
        <v>100035</v>
      </c>
      <c r="C14" s="10" t="s">
        <v>560</v>
      </c>
      <c r="D14" s="10">
        <v>0.33</v>
      </c>
      <c r="E14" s="295">
        <v>13.7</v>
      </c>
    </row>
    <row r="15" spans="1:11">
      <c r="A15" s="10" t="s">
        <v>488</v>
      </c>
      <c r="B15" s="10">
        <v>1035</v>
      </c>
      <c r="C15" s="10" t="s">
        <v>23</v>
      </c>
      <c r="D15" s="10">
        <v>0.28000000000000003</v>
      </c>
      <c r="E15" s="295">
        <v>10.84</v>
      </c>
    </row>
    <row r="16" spans="1:11">
      <c r="A16" s="10" t="s">
        <v>494</v>
      </c>
      <c r="B16" s="10">
        <v>400035</v>
      </c>
      <c r="C16" s="10" t="s">
        <v>541</v>
      </c>
      <c r="D16" s="10">
        <v>2.72</v>
      </c>
      <c r="E16" s="295">
        <v>109.13</v>
      </c>
    </row>
    <row r="17" spans="1:8">
      <c r="A17" s="1" t="s">
        <v>7</v>
      </c>
      <c r="B17" s="10"/>
      <c r="C17" s="10"/>
      <c r="D17" s="1">
        <v>3.33</v>
      </c>
      <c r="E17" s="296">
        <v>133.66999999999999</v>
      </c>
    </row>
    <row r="18" spans="1:8">
      <c r="A18" s="1"/>
      <c r="B18" s="10"/>
      <c r="C18" s="10"/>
      <c r="D18" s="1"/>
      <c r="E18" s="1"/>
    </row>
    <row r="19" spans="1:8">
      <c r="A19" s="10" t="s">
        <v>462</v>
      </c>
      <c r="B19" s="10">
        <v>1041</v>
      </c>
      <c r="C19" s="10" t="s">
        <v>196</v>
      </c>
      <c r="D19" s="10">
        <v>0.15</v>
      </c>
      <c r="E19" s="295">
        <v>5.13</v>
      </c>
    </row>
    <row r="20" spans="1:8">
      <c r="A20" s="1" t="s">
        <v>7</v>
      </c>
      <c r="B20" s="10"/>
      <c r="C20" s="10"/>
      <c r="D20" s="1">
        <v>0.15</v>
      </c>
      <c r="E20" s="296">
        <v>5.13</v>
      </c>
    </row>
    <row r="21" spans="1:8">
      <c r="A21" s="1"/>
      <c r="B21" s="10"/>
      <c r="C21" s="10"/>
      <c r="D21" s="1"/>
      <c r="E21" s="1"/>
    </row>
    <row r="22" spans="1:8">
      <c r="A22" s="288" t="s">
        <v>94</v>
      </c>
      <c r="B22" s="288">
        <v>1044</v>
      </c>
      <c r="C22" s="288" t="s">
        <v>91</v>
      </c>
      <c r="D22" s="288">
        <v>4.3499999999999996</v>
      </c>
      <c r="E22" s="298">
        <v>139.77000000000001</v>
      </c>
      <c r="F22" t="s">
        <v>508</v>
      </c>
      <c r="H22" t="s">
        <v>561</v>
      </c>
    </row>
    <row r="23" spans="1:8">
      <c r="A23" s="1" t="s">
        <v>7</v>
      </c>
      <c r="B23" s="10"/>
      <c r="C23" s="10"/>
      <c r="D23" s="1">
        <v>4.3499999999999996</v>
      </c>
      <c r="E23" s="296">
        <v>139.77000000000001</v>
      </c>
    </row>
    <row r="24" spans="1:8">
      <c r="A24" s="10"/>
      <c r="B24" s="10"/>
      <c r="C24" s="10"/>
      <c r="D24" s="10"/>
      <c r="E24" s="10"/>
    </row>
    <row r="25" spans="1:8">
      <c r="A25" s="288" t="s">
        <v>391</v>
      </c>
      <c r="B25" s="288">
        <v>1045</v>
      </c>
      <c r="C25" s="288" t="s">
        <v>66</v>
      </c>
      <c r="D25" s="288">
        <v>12.23</v>
      </c>
      <c r="E25" s="298">
        <v>340.21</v>
      </c>
      <c r="F25" t="s">
        <v>508</v>
      </c>
    </row>
    <row r="26" spans="1:8">
      <c r="A26" s="288" t="s">
        <v>228</v>
      </c>
      <c r="B26" s="288">
        <v>1045</v>
      </c>
      <c r="C26" s="288" t="s">
        <v>66</v>
      </c>
      <c r="D26" s="288">
        <v>9.77</v>
      </c>
      <c r="E26" s="298">
        <v>258.87</v>
      </c>
      <c r="F26" t="s">
        <v>508</v>
      </c>
    </row>
    <row r="27" spans="1:8">
      <c r="A27" s="10" t="s">
        <v>562</v>
      </c>
      <c r="B27" s="10">
        <v>1045</v>
      </c>
      <c r="C27" s="10" t="s">
        <v>66</v>
      </c>
      <c r="D27" s="10">
        <v>0.53</v>
      </c>
      <c r="E27" s="295">
        <v>12.8</v>
      </c>
    </row>
    <row r="28" spans="1:8">
      <c r="A28" s="10" t="s">
        <v>509</v>
      </c>
      <c r="B28" s="10">
        <v>1045</v>
      </c>
      <c r="C28" s="10" t="s">
        <v>66</v>
      </c>
      <c r="D28" s="10">
        <v>0.68</v>
      </c>
      <c r="E28" s="295">
        <v>16.73</v>
      </c>
    </row>
    <row r="29" spans="1:8">
      <c r="A29" s="288" t="s">
        <v>75</v>
      </c>
      <c r="B29" s="288">
        <v>1045</v>
      </c>
      <c r="C29" s="288" t="s">
        <v>66</v>
      </c>
      <c r="D29" s="288">
        <v>7.57</v>
      </c>
      <c r="E29" s="298">
        <v>232.68</v>
      </c>
      <c r="F29" t="s">
        <v>508</v>
      </c>
    </row>
    <row r="30" spans="1:8">
      <c r="A30" s="288" t="s">
        <v>472</v>
      </c>
      <c r="B30" s="288">
        <v>1045</v>
      </c>
      <c r="C30" s="288" t="s">
        <v>66</v>
      </c>
      <c r="D30" s="288">
        <v>13.67</v>
      </c>
      <c r="E30" s="298">
        <v>337.84</v>
      </c>
      <c r="F30" t="s">
        <v>508</v>
      </c>
    </row>
    <row r="31" spans="1:8">
      <c r="A31" s="288" t="s">
        <v>407</v>
      </c>
      <c r="B31" s="288">
        <v>1045</v>
      </c>
      <c r="C31" s="288" t="s">
        <v>66</v>
      </c>
      <c r="D31" s="288">
        <v>10.88</v>
      </c>
      <c r="E31" s="298">
        <v>280.3</v>
      </c>
      <c r="F31" t="s">
        <v>508</v>
      </c>
    </row>
    <row r="32" spans="1:8">
      <c r="A32" s="10" t="s">
        <v>328</v>
      </c>
      <c r="B32" s="10">
        <v>1045</v>
      </c>
      <c r="C32" s="10" t="s">
        <v>66</v>
      </c>
      <c r="D32" s="10">
        <v>3.18</v>
      </c>
      <c r="E32" s="295">
        <v>89.53</v>
      </c>
    </row>
    <row r="33" spans="1:6">
      <c r="A33" s="10" t="s">
        <v>270</v>
      </c>
      <c r="B33" s="10">
        <v>1045</v>
      </c>
      <c r="C33" s="10" t="s">
        <v>66</v>
      </c>
      <c r="D33" s="10">
        <v>4.5999999999999996</v>
      </c>
      <c r="E33" s="295">
        <v>141.31</v>
      </c>
    </row>
    <row r="34" spans="1:6">
      <c r="A34" s="10" t="s">
        <v>79</v>
      </c>
      <c r="B34" s="10">
        <v>1045</v>
      </c>
      <c r="C34" s="10" t="s">
        <v>66</v>
      </c>
      <c r="D34" s="10">
        <v>1.08</v>
      </c>
      <c r="E34" s="295">
        <v>29.66</v>
      </c>
    </row>
    <row r="35" spans="1:6">
      <c r="A35" s="10" t="s">
        <v>375</v>
      </c>
      <c r="B35" s="10">
        <v>1045</v>
      </c>
      <c r="C35" s="10" t="s">
        <v>66</v>
      </c>
      <c r="D35" s="10">
        <v>3.73</v>
      </c>
      <c r="E35" s="295">
        <v>100.97</v>
      </c>
    </row>
    <row r="36" spans="1:6">
      <c r="A36" s="10" t="s">
        <v>516</v>
      </c>
      <c r="B36" s="10">
        <v>1045</v>
      </c>
      <c r="C36" s="10" t="s">
        <v>66</v>
      </c>
      <c r="D36" s="10">
        <v>0.17</v>
      </c>
      <c r="E36" s="295">
        <v>3.95</v>
      </c>
    </row>
    <row r="37" spans="1:6">
      <c r="A37" s="1" t="s">
        <v>7</v>
      </c>
      <c r="B37" s="10"/>
      <c r="C37" s="10"/>
      <c r="D37" s="1">
        <v>68.09</v>
      </c>
      <c r="E37" s="296">
        <v>1844.85</v>
      </c>
    </row>
    <row r="38" spans="1:6">
      <c r="A38" s="1"/>
      <c r="B38" s="10"/>
      <c r="C38" s="10"/>
      <c r="D38" s="1"/>
      <c r="E38" s="1"/>
    </row>
    <row r="39" spans="1:6">
      <c r="A39" s="288" t="s">
        <v>163</v>
      </c>
      <c r="B39" s="288">
        <v>1046</v>
      </c>
      <c r="C39" s="288" t="s">
        <v>51</v>
      </c>
      <c r="D39" s="288">
        <v>26.48</v>
      </c>
      <c r="E39" s="298">
        <v>908.91</v>
      </c>
      <c r="F39" t="s">
        <v>508</v>
      </c>
    </row>
    <row r="40" spans="1:6">
      <c r="A40" s="1" t="s">
        <v>7</v>
      </c>
      <c r="B40" s="10"/>
      <c r="C40" s="10"/>
      <c r="D40" s="1">
        <v>26.48</v>
      </c>
      <c r="E40" s="296">
        <v>908.91</v>
      </c>
    </row>
    <row r="41" spans="1:6">
      <c r="A41" s="1"/>
      <c r="B41" s="10"/>
      <c r="C41" s="10"/>
      <c r="D41" s="1"/>
      <c r="E41" s="1"/>
    </row>
    <row r="42" spans="1:6">
      <c r="A42" s="10" t="s">
        <v>203</v>
      </c>
      <c r="B42" s="10">
        <v>1047</v>
      </c>
      <c r="C42" s="10" t="s">
        <v>60</v>
      </c>
      <c r="D42" s="10">
        <v>1.27</v>
      </c>
      <c r="E42" s="295">
        <v>29.64</v>
      </c>
    </row>
    <row r="43" spans="1:6">
      <c r="A43" s="10" t="s">
        <v>548</v>
      </c>
      <c r="B43" s="10">
        <v>1047</v>
      </c>
      <c r="C43" s="10" t="s">
        <v>60</v>
      </c>
      <c r="D43" s="10">
        <v>3.43</v>
      </c>
      <c r="E43" s="295">
        <v>74.680000000000007</v>
      </c>
    </row>
    <row r="44" spans="1:6">
      <c r="A44" s="288" t="s">
        <v>64</v>
      </c>
      <c r="B44" s="288">
        <v>1047</v>
      </c>
      <c r="C44" s="288" t="s">
        <v>60</v>
      </c>
      <c r="D44" s="288">
        <v>10.16</v>
      </c>
      <c r="E44" s="298">
        <v>237.9</v>
      </c>
      <c r="F44" t="s">
        <v>508</v>
      </c>
    </row>
    <row r="45" spans="1:6">
      <c r="A45" s="1" t="s">
        <v>7</v>
      </c>
      <c r="B45" s="10"/>
      <c r="C45" s="10"/>
      <c r="D45" s="1">
        <v>14.86</v>
      </c>
      <c r="E45" s="296">
        <v>342.22</v>
      </c>
    </row>
    <row r="46" spans="1:6">
      <c r="A46" s="1"/>
      <c r="B46" s="10"/>
      <c r="C46" s="10"/>
      <c r="D46" s="1"/>
      <c r="E46" s="1"/>
    </row>
    <row r="47" spans="1:6">
      <c r="A47" s="10" t="s">
        <v>528</v>
      </c>
      <c r="B47" s="10">
        <v>1048</v>
      </c>
      <c r="C47" s="10" t="s">
        <v>45</v>
      </c>
      <c r="D47" s="10">
        <v>0.02</v>
      </c>
      <c r="E47" s="295">
        <v>0.43</v>
      </c>
    </row>
    <row r="48" spans="1:6">
      <c r="A48" s="10" t="s">
        <v>479</v>
      </c>
      <c r="B48" s="10">
        <v>1048</v>
      </c>
      <c r="C48" s="10" t="s">
        <v>45</v>
      </c>
      <c r="D48" s="10">
        <v>0.63</v>
      </c>
      <c r="E48" s="295">
        <v>17.78</v>
      </c>
    </row>
    <row r="49" spans="1:8">
      <c r="A49" s="10" t="s">
        <v>474</v>
      </c>
      <c r="B49" s="10">
        <v>1048</v>
      </c>
      <c r="C49" s="10" t="s">
        <v>45</v>
      </c>
      <c r="D49" s="10">
        <v>2.62</v>
      </c>
      <c r="E49" s="295">
        <v>67.349999999999994</v>
      </c>
    </row>
    <row r="50" spans="1:8">
      <c r="A50" s="1" t="s">
        <v>7</v>
      </c>
      <c r="B50" s="10"/>
      <c r="C50" s="10"/>
      <c r="D50" s="1">
        <v>3.27</v>
      </c>
      <c r="E50" s="296">
        <v>85.56</v>
      </c>
    </row>
    <row r="51" spans="1:8">
      <c r="A51" s="1"/>
      <c r="B51" s="10"/>
      <c r="C51" s="10"/>
      <c r="D51" s="1"/>
      <c r="E51" s="1"/>
    </row>
    <row r="52" spans="1:8">
      <c r="A52" s="10" t="s">
        <v>166</v>
      </c>
      <c r="B52" s="10">
        <v>1049</v>
      </c>
      <c r="C52" s="10" t="s">
        <v>54</v>
      </c>
      <c r="D52" s="10">
        <v>0.05</v>
      </c>
      <c r="E52" s="295">
        <v>1.28</v>
      </c>
    </row>
    <row r="53" spans="1:8">
      <c r="A53" s="288" t="s">
        <v>549</v>
      </c>
      <c r="B53" s="288">
        <v>1049</v>
      </c>
      <c r="C53" s="288" t="s">
        <v>54</v>
      </c>
      <c r="D53" s="288">
        <v>5.7</v>
      </c>
      <c r="E53" s="298">
        <v>149.63</v>
      </c>
      <c r="F53" t="s">
        <v>508</v>
      </c>
    </row>
    <row r="54" spans="1:8">
      <c r="A54" s="288" t="s">
        <v>292</v>
      </c>
      <c r="B54" s="288">
        <v>1049</v>
      </c>
      <c r="C54" s="288" t="s">
        <v>54</v>
      </c>
      <c r="D54" s="288">
        <v>11.33</v>
      </c>
      <c r="E54" s="298">
        <v>306.51</v>
      </c>
      <c r="F54" t="s">
        <v>508</v>
      </c>
    </row>
    <row r="55" spans="1:8">
      <c r="A55" s="10" t="s">
        <v>429</v>
      </c>
      <c r="B55" s="10">
        <v>1049</v>
      </c>
      <c r="C55" s="10" t="s">
        <v>54</v>
      </c>
      <c r="D55" s="10">
        <v>3</v>
      </c>
      <c r="E55" s="295">
        <v>81.14</v>
      </c>
    </row>
    <row r="56" spans="1:8">
      <c r="A56" s="10" t="s">
        <v>159</v>
      </c>
      <c r="B56" s="10">
        <v>1049</v>
      </c>
      <c r="C56" s="10" t="s">
        <v>54</v>
      </c>
      <c r="D56" s="10">
        <v>2.57</v>
      </c>
      <c r="E56" s="295">
        <v>65.45</v>
      </c>
    </row>
    <row r="57" spans="1:8">
      <c r="A57" s="288" t="s">
        <v>484</v>
      </c>
      <c r="B57" s="288">
        <v>1049</v>
      </c>
      <c r="C57" s="288" t="s">
        <v>54</v>
      </c>
      <c r="D57" s="288">
        <v>9.33</v>
      </c>
      <c r="E57" s="298">
        <v>245.15</v>
      </c>
      <c r="F57" t="s">
        <v>508</v>
      </c>
    </row>
    <row r="58" spans="1:8">
      <c r="A58" s="288" t="s">
        <v>563</v>
      </c>
      <c r="B58" s="288">
        <v>1049</v>
      </c>
      <c r="C58" s="288" t="s">
        <v>54</v>
      </c>
      <c r="D58" s="288">
        <v>9.27</v>
      </c>
      <c r="E58" s="298">
        <v>236.3</v>
      </c>
      <c r="F58" t="s">
        <v>508</v>
      </c>
    </row>
    <row r="59" spans="1:8">
      <c r="A59" s="1" t="s">
        <v>7</v>
      </c>
      <c r="B59" s="10"/>
      <c r="C59" s="10"/>
      <c r="D59" s="1">
        <v>41.25</v>
      </c>
      <c r="E59" s="296">
        <v>1085.46</v>
      </c>
    </row>
    <row r="60" spans="1:8">
      <c r="A60" s="1"/>
      <c r="B60" s="10"/>
      <c r="C60" s="10"/>
      <c r="D60" s="1"/>
      <c r="E60" s="1"/>
    </row>
    <row r="61" spans="1:8">
      <c r="A61" s="288" t="s">
        <v>550</v>
      </c>
      <c r="B61" s="288">
        <v>1055</v>
      </c>
      <c r="C61" s="288" t="s">
        <v>241</v>
      </c>
      <c r="D61" s="288">
        <v>5.03</v>
      </c>
      <c r="E61" s="298">
        <v>188.75</v>
      </c>
      <c r="F61" t="s">
        <v>508</v>
      </c>
      <c r="H61" t="s">
        <v>564</v>
      </c>
    </row>
    <row r="62" spans="1:8">
      <c r="A62" s="1" t="s">
        <v>7</v>
      </c>
      <c r="B62" s="10"/>
      <c r="C62" s="10"/>
      <c r="D62" s="1">
        <v>5.03</v>
      </c>
      <c r="E62" s="296">
        <v>188.75</v>
      </c>
    </row>
    <row r="63" spans="1:8">
      <c r="A63" s="1"/>
      <c r="B63" s="10"/>
      <c r="C63" s="10"/>
      <c r="D63" s="1"/>
      <c r="E63" s="1"/>
    </row>
    <row r="64" spans="1:8">
      <c r="A64" s="10" t="s">
        <v>459</v>
      </c>
      <c r="B64" s="10">
        <v>1060</v>
      </c>
      <c r="C64" s="10" t="s">
        <v>25</v>
      </c>
      <c r="D64" s="10">
        <v>0.93</v>
      </c>
      <c r="E64" s="295">
        <v>30.28</v>
      </c>
    </row>
    <row r="65" spans="1:5">
      <c r="A65" s="10" t="s">
        <v>493</v>
      </c>
      <c r="B65" s="10">
        <v>1060</v>
      </c>
      <c r="C65" s="10" t="s">
        <v>25</v>
      </c>
      <c r="D65" s="10">
        <v>0.47</v>
      </c>
      <c r="E65" s="295">
        <v>14.99</v>
      </c>
    </row>
    <row r="66" spans="1:5">
      <c r="A66" s="10" t="s">
        <v>551</v>
      </c>
      <c r="B66" s="10">
        <v>1060</v>
      </c>
      <c r="C66" s="10" t="s">
        <v>25</v>
      </c>
      <c r="D66" s="10">
        <v>0.02</v>
      </c>
      <c r="E66" s="295">
        <v>0.53</v>
      </c>
    </row>
    <row r="67" spans="1:5">
      <c r="A67" s="10" t="s">
        <v>512</v>
      </c>
      <c r="B67" s="10">
        <v>1060</v>
      </c>
      <c r="C67" s="10" t="s">
        <v>25</v>
      </c>
      <c r="D67" s="10">
        <v>0.23</v>
      </c>
      <c r="E67" s="295">
        <v>7.5</v>
      </c>
    </row>
    <row r="68" spans="1:5">
      <c r="A68" s="10" t="s">
        <v>505</v>
      </c>
      <c r="B68" s="10">
        <v>1060</v>
      </c>
      <c r="C68" s="10" t="s">
        <v>25</v>
      </c>
      <c r="D68" s="10">
        <v>1.27</v>
      </c>
      <c r="E68" s="295">
        <v>40.549999999999997</v>
      </c>
    </row>
    <row r="69" spans="1:5">
      <c r="A69" s="10" t="s">
        <v>500</v>
      </c>
      <c r="B69" s="10">
        <v>1060</v>
      </c>
      <c r="C69" s="10" t="s">
        <v>25</v>
      </c>
      <c r="D69" s="10">
        <v>0.15</v>
      </c>
      <c r="E69" s="295">
        <v>4.59</v>
      </c>
    </row>
    <row r="70" spans="1:5">
      <c r="A70" s="10" t="s">
        <v>487</v>
      </c>
      <c r="B70" s="10">
        <v>1060</v>
      </c>
      <c r="C70" s="10" t="s">
        <v>25</v>
      </c>
      <c r="D70" s="10">
        <v>0.65</v>
      </c>
      <c r="E70" s="295">
        <v>22.6</v>
      </c>
    </row>
    <row r="71" spans="1:5">
      <c r="A71" s="10" t="s">
        <v>397</v>
      </c>
      <c r="B71" s="10">
        <v>1060</v>
      </c>
      <c r="C71" s="10" t="s">
        <v>25</v>
      </c>
      <c r="D71" s="10">
        <v>0.43</v>
      </c>
      <c r="E71" s="295">
        <v>14.11</v>
      </c>
    </row>
    <row r="72" spans="1:5">
      <c r="A72" s="1" t="s">
        <v>7</v>
      </c>
      <c r="B72" s="10"/>
      <c r="C72" s="10"/>
      <c r="D72" s="1">
        <v>4.1500000000000004</v>
      </c>
      <c r="E72" s="296">
        <v>135.15</v>
      </c>
    </row>
    <row r="73" spans="1:5">
      <c r="A73" s="1"/>
      <c r="B73" s="10"/>
      <c r="C73" s="10"/>
      <c r="D73" s="1"/>
      <c r="E73" s="1"/>
    </row>
    <row r="74" spans="1:5">
      <c r="A74" s="10" t="s">
        <v>413</v>
      </c>
      <c r="B74" s="10">
        <v>1065</v>
      </c>
      <c r="C74" s="10" t="s">
        <v>12</v>
      </c>
      <c r="D74" s="10">
        <v>1.08</v>
      </c>
      <c r="E74" s="295">
        <v>39.76</v>
      </c>
    </row>
    <row r="75" spans="1:5">
      <c r="A75" s="1" t="s">
        <v>7</v>
      </c>
      <c r="B75" s="10"/>
      <c r="C75" s="10"/>
      <c r="D75" s="1">
        <v>1.08</v>
      </c>
      <c r="E75" s="296">
        <v>39.76</v>
      </c>
    </row>
    <row r="76" spans="1:5">
      <c r="A76" s="1"/>
      <c r="B76" s="10"/>
      <c r="C76" s="10"/>
      <c r="D76" s="1"/>
      <c r="E76" s="1"/>
    </row>
    <row r="77" spans="1:5">
      <c r="A77" s="10" t="s">
        <v>558</v>
      </c>
      <c r="B77" s="10">
        <v>100051</v>
      </c>
      <c r="C77" s="10" t="s">
        <v>34</v>
      </c>
      <c r="D77" s="10">
        <v>0.23</v>
      </c>
      <c r="E77" s="295">
        <v>5.08</v>
      </c>
    </row>
    <row r="78" spans="1:5">
      <c r="A78" s="10" t="s">
        <v>213</v>
      </c>
      <c r="B78" s="10">
        <v>100051</v>
      </c>
      <c r="C78" s="10" t="s">
        <v>34</v>
      </c>
      <c r="D78" s="10">
        <v>2</v>
      </c>
      <c r="E78" s="295">
        <v>51</v>
      </c>
    </row>
    <row r="79" spans="1:5">
      <c r="A79" s="10" t="s">
        <v>274</v>
      </c>
      <c r="B79" s="10">
        <v>100051</v>
      </c>
      <c r="C79" s="10" t="s">
        <v>34</v>
      </c>
      <c r="D79" s="10">
        <v>3.93</v>
      </c>
      <c r="E79" s="295">
        <v>87.03</v>
      </c>
    </row>
    <row r="80" spans="1:5">
      <c r="A80" s="10" t="s">
        <v>39</v>
      </c>
      <c r="B80" s="10">
        <v>100051</v>
      </c>
      <c r="C80" s="10" t="s">
        <v>34</v>
      </c>
      <c r="D80" s="10">
        <v>1.35</v>
      </c>
      <c r="E80" s="295">
        <v>34.43</v>
      </c>
    </row>
    <row r="81" spans="1:5">
      <c r="A81" s="10" t="s">
        <v>41</v>
      </c>
      <c r="B81" s="10">
        <v>100051</v>
      </c>
      <c r="C81" s="10" t="s">
        <v>34</v>
      </c>
      <c r="D81" s="10">
        <v>3.52</v>
      </c>
      <c r="E81" s="295">
        <v>98.75</v>
      </c>
    </row>
    <row r="82" spans="1:5">
      <c r="A82" s="1" t="s">
        <v>7</v>
      </c>
      <c r="B82" s="10"/>
      <c r="C82" s="10"/>
      <c r="D82" s="1">
        <v>11.03</v>
      </c>
      <c r="E82" s="296">
        <v>276.29000000000002</v>
      </c>
    </row>
    <row r="83" spans="1:5">
      <c r="A83" s="1"/>
      <c r="B83" s="10"/>
      <c r="C83" s="10"/>
      <c r="D83" s="1"/>
      <c r="E83" s="1"/>
    </row>
    <row r="84" spans="1:5">
      <c r="A84" s="10" t="s">
        <v>369</v>
      </c>
      <c r="B84" s="10">
        <v>450044</v>
      </c>
      <c r="C84" s="10" t="s">
        <v>519</v>
      </c>
      <c r="D84" s="10">
        <v>1.1499999999999999</v>
      </c>
      <c r="E84" s="295">
        <v>31.05</v>
      </c>
    </row>
    <row r="85" spans="1:5">
      <c r="A85" s="1" t="s">
        <v>7</v>
      </c>
      <c r="B85" s="10"/>
      <c r="C85" s="10"/>
      <c r="D85" s="1">
        <v>1.1499999999999999</v>
      </c>
      <c r="E85" s="296">
        <v>31.05</v>
      </c>
    </row>
    <row r="86" spans="1:5">
      <c r="A86" s="1"/>
      <c r="B86" s="10"/>
      <c r="C86" s="10"/>
      <c r="D86" s="1"/>
      <c r="E86" s="1"/>
    </row>
    <row r="87" spans="1:5">
      <c r="A87" s="10" t="s">
        <v>475</v>
      </c>
      <c r="B87" s="10" t="s">
        <v>476</v>
      </c>
      <c r="C87" s="10" t="s">
        <v>477</v>
      </c>
      <c r="D87" s="10">
        <v>2.27</v>
      </c>
      <c r="E87" s="295">
        <v>84.18</v>
      </c>
    </row>
    <row r="88" spans="1:5">
      <c r="A88" s="1" t="s">
        <v>7</v>
      </c>
      <c r="B88" s="10"/>
      <c r="C88" s="10"/>
      <c r="D88" s="1">
        <v>2.27</v>
      </c>
      <c r="E88" s="296">
        <v>84.18</v>
      </c>
    </row>
    <row r="89" spans="1:5">
      <c r="A89" s="1"/>
      <c r="B89" s="10"/>
      <c r="C89" s="10"/>
      <c r="D89" s="1"/>
      <c r="E89" s="1"/>
    </row>
    <row r="90" spans="1:5">
      <c r="A90" s="1" t="s">
        <v>194</v>
      </c>
      <c r="B90" s="10"/>
      <c r="C90" s="10"/>
      <c r="D90" s="1">
        <v>193.89</v>
      </c>
      <c r="E90" s="297">
        <v>5535.76</v>
      </c>
    </row>
    <row r="91" spans="1:5">
      <c r="A91" s="1"/>
      <c r="B91" s="10"/>
      <c r="C91" s="10"/>
      <c r="D91" s="1"/>
      <c r="E91" s="1"/>
    </row>
    <row r="92" spans="1:5">
      <c r="A92" s="10"/>
      <c r="B92" s="10"/>
      <c r="C92" s="10"/>
      <c r="D92" s="10"/>
      <c r="E92" s="10"/>
    </row>
    <row r="93" spans="1:5">
      <c r="A93" s="10"/>
      <c r="B93" s="10"/>
      <c r="C93" s="10"/>
      <c r="D93" s="10"/>
      <c r="E93" s="10"/>
    </row>
    <row r="94" spans="1:5">
      <c r="A94" s="1"/>
      <c r="B94" s="10"/>
      <c r="C94" s="10"/>
      <c r="D94" s="1"/>
      <c r="E94" s="1"/>
    </row>
    <row r="95" spans="1:5">
      <c r="A95" s="1"/>
      <c r="B95" s="10"/>
      <c r="C95" s="10"/>
      <c r="D95" s="1"/>
      <c r="E95" s="1"/>
    </row>
    <row r="96" spans="1:5">
      <c r="A96" s="10"/>
      <c r="B96" s="10"/>
      <c r="C96" s="10"/>
      <c r="D96" s="10"/>
      <c r="E96" s="10"/>
    </row>
    <row r="97" spans="1:5">
      <c r="A97" s="1"/>
      <c r="B97" s="10"/>
      <c r="C97" s="10"/>
      <c r="D97" s="1"/>
      <c r="E97" s="1"/>
    </row>
    <row r="98" spans="1:5">
      <c r="A98" s="1"/>
      <c r="B98" s="10"/>
      <c r="C98" s="10"/>
      <c r="D98" s="1"/>
      <c r="E98" s="1"/>
    </row>
    <row r="99" spans="1:5">
      <c r="A99" s="10"/>
      <c r="B99" s="10"/>
      <c r="C99" s="10"/>
      <c r="D99" s="10"/>
      <c r="E99" s="10"/>
    </row>
    <row r="100" spans="1:5">
      <c r="A100" s="1"/>
      <c r="B100" s="10"/>
      <c r="C100" s="10"/>
      <c r="D100" s="1"/>
      <c r="E100" s="1"/>
    </row>
    <row r="101" spans="1:5">
      <c r="A101" s="1"/>
      <c r="B101" s="10"/>
      <c r="C101" s="10"/>
      <c r="D101" s="1"/>
      <c r="E101" s="1"/>
    </row>
    <row r="102" spans="1:5">
      <c r="A102" s="10"/>
      <c r="B102" s="10"/>
      <c r="C102" s="10"/>
      <c r="D102" s="10"/>
      <c r="E102" s="10"/>
    </row>
    <row r="103" spans="1:5">
      <c r="A103" s="10"/>
      <c r="B103" s="10"/>
      <c r="C103" s="10"/>
      <c r="D103" s="10"/>
      <c r="E103" s="10"/>
    </row>
    <row r="104" spans="1:5">
      <c r="A104" s="1"/>
      <c r="B104" s="10"/>
      <c r="C104" s="10"/>
      <c r="D104" s="1"/>
      <c r="E104" s="1"/>
    </row>
    <row r="105" spans="1:5">
      <c r="A105" s="1"/>
      <c r="B105" s="10"/>
      <c r="C105" s="10"/>
      <c r="D105" s="10"/>
      <c r="E105" s="10"/>
    </row>
    <row r="106" spans="1:5">
      <c r="A106" s="1"/>
      <c r="B106" s="10"/>
      <c r="C106" s="10"/>
      <c r="D106" s="1"/>
      <c r="E106" s="1"/>
    </row>
    <row r="107" spans="1:5">
      <c r="A107" s="10"/>
      <c r="B107" s="10"/>
      <c r="C107" s="10"/>
      <c r="D107" s="1"/>
      <c r="E107" s="1"/>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81949-4460-460F-A7C4-54EC6EE09D83}">
  <dimension ref="A1:K107"/>
  <sheetViews>
    <sheetView tabSelected="1" workbookViewId="0">
      <selection activeCell="G1" sqref="G1:K6"/>
    </sheetView>
  </sheetViews>
  <sheetFormatPr defaultRowHeight="12.75"/>
  <cols>
    <col min="1" max="1" width="22.7109375" bestFit="1" customWidth="1"/>
    <col min="2" max="2" width="15.28515625" customWidth="1"/>
    <col min="3" max="3" width="34.28515625" bestFit="1" customWidth="1"/>
    <col min="4" max="5" width="23" bestFit="1" customWidth="1"/>
    <col min="6" max="6" width="12.85546875" customWidth="1"/>
    <col min="7" max="7" width="11.7109375" customWidth="1"/>
    <col min="8" max="8" width="15" customWidth="1"/>
    <col min="9" max="9" width="11.5703125" customWidth="1"/>
    <col min="10" max="10" width="12.5703125" customWidth="1"/>
    <col min="11" max="11" width="15.28515625" customWidth="1"/>
  </cols>
  <sheetData>
    <row r="1" spans="1:11">
      <c r="A1" s="1" t="s">
        <v>147</v>
      </c>
      <c r="B1" s="1" t="s">
        <v>148</v>
      </c>
      <c r="C1" s="1" t="s">
        <v>149</v>
      </c>
      <c r="D1" s="1" t="s">
        <v>150</v>
      </c>
      <c r="E1" s="1" t="s">
        <v>151</v>
      </c>
      <c r="G1" s="232"/>
      <c r="H1" s="233"/>
      <c r="I1" s="234"/>
      <c r="J1" s="235"/>
      <c r="K1" s="236"/>
    </row>
    <row r="2" spans="1:11">
      <c r="A2" s="10" t="s">
        <v>14</v>
      </c>
      <c r="B2" s="10">
        <v>1020</v>
      </c>
      <c r="C2" s="10" t="s">
        <v>15</v>
      </c>
      <c r="D2" s="10">
        <v>7.0000000000000007E-2</v>
      </c>
      <c r="E2" s="295">
        <v>2.27</v>
      </c>
      <c r="G2" s="238"/>
      <c r="H2" s="239"/>
      <c r="I2" s="240"/>
      <c r="J2" s="241"/>
      <c r="K2" s="242"/>
    </row>
    <row r="3" spans="1:11">
      <c r="A3" s="10" t="s">
        <v>506</v>
      </c>
      <c r="B3" s="10">
        <v>1020</v>
      </c>
      <c r="C3" s="10" t="s">
        <v>15</v>
      </c>
      <c r="D3" s="10">
        <v>0.85</v>
      </c>
      <c r="E3" s="295">
        <v>28.89</v>
      </c>
      <c r="G3" s="243"/>
      <c r="H3" s="231"/>
      <c r="I3" s="243"/>
      <c r="J3" s="243"/>
      <c r="K3" s="243"/>
    </row>
    <row r="4" spans="1:11">
      <c r="A4" s="10" t="s">
        <v>507</v>
      </c>
      <c r="B4" s="10">
        <v>1020</v>
      </c>
      <c r="C4" s="10" t="s">
        <v>15</v>
      </c>
      <c r="D4" s="10">
        <v>1.8</v>
      </c>
      <c r="E4" s="295">
        <v>50.95</v>
      </c>
      <c r="G4" s="244"/>
      <c r="H4" s="244"/>
      <c r="I4" s="244"/>
      <c r="J4" s="244"/>
      <c r="K4" s="244"/>
    </row>
    <row r="5" spans="1:11">
      <c r="A5" s="10" t="s">
        <v>389</v>
      </c>
      <c r="B5" s="10">
        <v>1020</v>
      </c>
      <c r="C5" s="10" t="s">
        <v>15</v>
      </c>
      <c r="D5" s="10">
        <v>0.87</v>
      </c>
      <c r="E5" s="295">
        <v>28.2</v>
      </c>
      <c r="G5" s="231"/>
      <c r="H5" s="231"/>
      <c r="I5" s="231"/>
      <c r="J5" s="231"/>
      <c r="K5" s="231"/>
    </row>
    <row r="6" spans="1:11" ht="15">
      <c r="A6" s="299" t="s">
        <v>434</v>
      </c>
      <c r="B6" s="299">
        <v>400020</v>
      </c>
      <c r="C6" s="299" t="s">
        <v>98</v>
      </c>
      <c r="D6" s="299">
        <v>5.17</v>
      </c>
      <c r="E6" s="300">
        <v>169.42</v>
      </c>
      <c r="F6" t="s">
        <v>508</v>
      </c>
      <c r="G6" s="231"/>
      <c r="H6" s="247"/>
      <c r="I6" s="231"/>
      <c r="J6" s="231"/>
      <c r="K6" s="231"/>
    </row>
    <row r="7" spans="1:11">
      <c r="A7" s="10" t="s">
        <v>545</v>
      </c>
      <c r="B7" s="10">
        <v>1020</v>
      </c>
      <c r="C7" s="10" t="s">
        <v>15</v>
      </c>
      <c r="D7" s="10">
        <v>0.5</v>
      </c>
      <c r="E7" s="295">
        <v>15</v>
      </c>
    </row>
    <row r="8" spans="1:11">
      <c r="A8" s="10" t="s">
        <v>496</v>
      </c>
      <c r="B8" s="10">
        <v>1020</v>
      </c>
      <c r="C8" s="10" t="s">
        <v>15</v>
      </c>
      <c r="D8" s="10">
        <v>1.87</v>
      </c>
      <c r="E8" s="295">
        <v>59.98</v>
      </c>
    </row>
    <row r="9" spans="1:11">
      <c r="A9" s="10" t="s">
        <v>377</v>
      </c>
      <c r="B9" s="10">
        <v>1020</v>
      </c>
      <c r="C9" s="10" t="s">
        <v>15</v>
      </c>
      <c r="D9" s="10">
        <v>0.02</v>
      </c>
      <c r="E9" s="295">
        <v>0.56999999999999995</v>
      </c>
    </row>
    <row r="10" spans="1:11">
      <c r="A10" s="10" t="s">
        <v>556</v>
      </c>
      <c r="B10" s="10">
        <v>1020</v>
      </c>
      <c r="C10" s="10" t="s">
        <v>15</v>
      </c>
      <c r="D10" s="10">
        <v>0.08</v>
      </c>
      <c r="E10" s="295">
        <v>2.63</v>
      </c>
    </row>
    <row r="11" spans="1:11">
      <c r="A11" s="1" t="s">
        <v>7</v>
      </c>
      <c r="B11" s="10"/>
      <c r="C11" s="10"/>
      <c r="D11" s="1">
        <v>11.23</v>
      </c>
      <c r="E11" s="296">
        <v>357.91</v>
      </c>
    </row>
    <row r="12" spans="1:11">
      <c r="A12" s="1"/>
      <c r="B12" s="10"/>
      <c r="C12" s="10"/>
      <c r="D12" s="1"/>
      <c r="E12" s="1"/>
    </row>
    <row r="13" spans="1:11">
      <c r="A13" s="10" t="s">
        <v>307</v>
      </c>
      <c r="B13" s="10">
        <v>100035</v>
      </c>
      <c r="C13" s="10" t="s">
        <v>560</v>
      </c>
      <c r="D13" s="10">
        <v>0.65</v>
      </c>
      <c r="E13" s="295">
        <v>26.71</v>
      </c>
    </row>
    <row r="14" spans="1:11">
      <c r="A14" s="10" t="s">
        <v>22</v>
      </c>
      <c r="B14" s="10">
        <v>1035</v>
      </c>
      <c r="C14" s="10" t="s">
        <v>23</v>
      </c>
      <c r="D14" s="10">
        <v>0.1</v>
      </c>
      <c r="E14" s="295">
        <v>3.86</v>
      </c>
    </row>
    <row r="15" spans="1:11">
      <c r="A15" s="10" t="s">
        <v>501</v>
      </c>
      <c r="B15" s="10">
        <v>1035</v>
      </c>
      <c r="C15" s="10" t="s">
        <v>23</v>
      </c>
      <c r="D15" s="10">
        <v>0.48</v>
      </c>
      <c r="E15" s="295">
        <v>18.489999999999998</v>
      </c>
    </row>
    <row r="16" spans="1:11">
      <c r="A16" s="301" t="s">
        <v>494</v>
      </c>
      <c r="B16" s="301">
        <v>400035</v>
      </c>
      <c r="C16" s="301" t="s">
        <v>541</v>
      </c>
      <c r="D16" s="301">
        <v>9.25</v>
      </c>
      <c r="E16" s="302">
        <v>371.57</v>
      </c>
      <c r="F16" t="s">
        <v>508</v>
      </c>
      <c r="G16" t="s">
        <v>565</v>
      </c>
    </row>
    <row r="17" spans="1:7">
      <c r="A17" s="1" t="s">
        <v>7</v>
      </c>
      <c r="B17" s="10"/>
      <c r="C17" s="10"/>
      <c r="D17" s="1">
        <v>10.48</v>
      </c>
      <c r="E17" s="296">
        <v>420.63</v>
      </c>
    </row>
    <row r="18" spans="1:7">
      <c r="A18" s="1"/>
      <c r="B18" s="10"/>
      <c r="C18" s="10"/>
      <c r="D18" s="1"/>
      <c r="E18" s="1"/>
    </row>
    <row r="19" spans="1:7">
      <c r="A19" s="10" t="s">
        <v>471</v>
      </c>
      <c r="B19" s="10">
        <v>1041</v>
      </c>
      <c r="C19" s="10" t="s">
        <v>196</v>
      </c>
      <c r="D19" s="10">
        <v>0.5</v>
      </c>
      <c r="E19" s="295">
        <v>17.600000000000001</v>
      </c>
    </row>
    <row r="20" spans="1:7">
      <c r="A20" s="1" t="s">
        <v>7</v>
      </c>
      <c r="B20" s="10"/>
      <c r="C20" s="10"/>
      <c r="D20" s="1">
        <v>0.5</v>
      </c>
      <c r="E20" s="296">
        <v>17.600000000000001</v>
      </c>
    </row>
    <row r="21" spans="1:7">
      <c r="A21" s="1"/>
      <c r="B21" s="10"/>
      <c r="C21" s="10"/>
      <c r="D21" s="1"/>
      <c r="E21" s="1"/>
    </row>
    <row r="22" spans="1:7">
      <c r="A22" s="10" t="s">
        <v>94</v>
      </c>
      <c r="B22" s="10">
        <v>1044</v>
      </c>
      <c r="C22" s="10" t="s">
        <v>91</v>
      </c>
      <c r="D22" s="10">
        <v>2.78</v>
      </c>
      <c r="E22" s="295">
        <v>89.43</v>
      </c>
    </row>
    <row r="23" spans="1:7">
      <c r="A23" s="1" t="s">
        <v>7</v>
      </c>
      <c r="B23" s="10"/>
      <c r="C23" s="10"/>
      <c r="D23" s="1">
        <v>2.78</v>
      </c>
      <c r="E23" s="296">
        <v>89.43</v>
      </c>
    </row>
    <row r="24" spans="1:7">
      <c r="A24" s="10"/>
      <c r="B24" s="10"/>
      <c r="C24" s="10"/>
      <c r="D24" s="10"/>
      <c r="E24" s="10"/>
    </row>
    <row r="25" spans="1:7">
      <c r="A25" s="288" t="s">
        <v>391</v>
      </c>
      <c r="B25" s="288">
        <v>1045</v>
      </c>
      <c r="C25" s="288" t="s">
        <v>66</v>
      </c>
      <c r="D25" s="288">
        <v>38.32</v>
      </c>
      <c r="E25" s="298">
        <v>1065.5899999999999</v>
      </c>
      <c r="F25" t="s">
        <v>508</v>
      </c>
      <c r="G25" t="s">
        <v>566</v>
      </c>
    </row>
    <row r="26" spans="1:7" ht="15">
      <c r="A26" s="10" t="s">
        <v>567</v>
      </c>
      <c r="B26" s="10">
        <v>1045</v>
      </c>
      <c r="C26" s="10" t="s">
        <v>66</v>
      </c>
      <c r="D26" s="10">
        <v>0.6</v>
      </c>
      <c r="E26" s="295">
        <v>14.83</v>
      </c>
      <c r="G26" s="303" t="s">
        <v>568</v>
      </c>
    </row>
    <row r="27" spans="1:7" ht="15">
      <c r="A27" s="10" t="s">
        <v>562</v>
      </c>
      <c r="B27" s="10">
        <v>1045</v>
      </c>
      <c r="C27" s="10" t="s">
        <v>66</v>
      </c>
      <c r="D27" s="10">
        <v>0.17</v>
      </c>
      <c r="E27" s="295">
        <v>4</v>
      </c>
      <c r="G27" s="303" t="s">
        <v>569</v>
      </c>
    </row>
    <row r="28" spans="1:7">
      <c r="A28" s="288" t="s">
        <v>75</v>
      </c>
      <c r="B28" s="288">
        <v>1045</v>
      </c>
      <c r="C28" s="288" t="s">
        <v>66</v>
      </c>
      <c r="D28" s="288">
        <v>18.2</v>
      </c>
      <c r="E28" s="298">
        <v>559.65</v>
      </c>
      <c r="F28" t="s">
        <v>508</v>
      </c>
    </row>
    <row r="29" spans="1:7">
      <c r="A29" s="10" t="s">
        <v>210</v>
      </c>
      <c r="B29" s="10">
        <v>1045</v>
      </c>
      <c r="C29" s="10" t="s">
        <v>66</v>
      </c>
      <c r="D29" s="10">
        <v>1.47</v>
      </c>
      <c r="E29" s="295">
        <v>38.869999999999997</v>
      </c>
    </row>
    <row r="30" spans="1:7">
      <c r="A30" s="288" t="s">
        <v>472</v>
      </c>
      <c r="B30" s="288">
        <v>1045</v>
      </c>
      <c r="C30" s="288" t="s">
        <v>66</v>
      </c>
      <c r="D30" s="288">
        <v>14.48</v>
      </c>
      <c r="E30" s="298">
        <v>358.03</v>
      </c>
      <c r="F30" t="s">
        <v>508</v>
      </c>
    </row>
    <row r="31" spans="1:7">
      <c r="A31" s="288" t="s">
        <v>407</v>
      </c>
      <c r="B31" s="288">
        <v>1045</v>
      </c>
      <c r="C31" s="288" t="s">
        <v>66</v>
      </c>
      <c r="D31" s="288">
        <v>7.03</v>
      </c>
      <c r="E31" s="298">
        <v>181.14</v>
      </c>
      <c r="F31" t="s">
        <v>508</v>
      </c>
    </row>
    <row r="32" spans="1:7">
      <c r="A32" s="288" t="s">
        <v>328</v>
      </c>
      <c r="B32" s="288">
        <v>1045</v>
      </c>
      <c r="C32" s="288" t="s">
        <v>66</v>
      </c>
      <c r="D32" s="288">
        <v>4.62</v>
      </c>
      <c r="E32" s="298">
        <v>129.84</v>
      </c>
      <c r="F32" t="s">
        <v>508</v>
      </c>
    </row>
    <row r="33" spans="1:6">
      <c r="A33" s="288" t="s">
        <v>458</v>
      </c>
      <c r="B33" s="288">
        <v>1045</v>
      </c>
      <c r="C33" s="288" t="s">
        <v>66</v>
      </c>
      <c r="D33" s="288">
        <v>6.17</v>
      </c>
      <c r="E33" s="298">
        <v>180.38</v>
      </c>
      <c r="F33" t="s">
        <v>508</v>
      </c>
    </row>
    <row r="34" spans="1:6">
      <c r="A34" s="10" t="s">
        <v>270</v>
      </c>
      <c r="B34" s="10">
        <v>1045</v>
      </c>
      <c r="C34" s="10" t="s">
        <v>66</v>
      </c>
      <c r="D34" s="10">
        <v>2.4700000000000002</v>
      </c>
      <c r="E34" s="295">
        <v>75.78</v>
      </c>
    </row>
    <row r="35" spans="1:6">
      <c r="A35" s="10" t="s">
        <v>79</v>
      </c>
      <c r="B35" s="10">
        <v>1045</v>
      </c>
      <c r="C35" s="10" t="s">
        <v>66</v>
      </c>
      <c r="D35" s="10">
        <v>2.0499999999999998</v>
      </c>
      <c r="E35" s="295">
        <v>56.12</v>
      </c>
    </row>
    <row r="36" spans="1:6">
      <c r="A36" s="10" t="s">
        <v>39</v>
      </c>
      <c r="B36" s="10">
        <v>1045</v>
      </c>
      <c r="C36" s="10" t="s">
        <v>66</v>
      </c>
      <c r="D36" s="10">
        <v>0.57999999999999996</v>
      </c>
      <c r="E36" s="295">
        <v>14.88</v>
      </c>
    </row>
    <row r="37" spans="1:6">
      <c r="A37" s="1" t="s">
        <v>7</v>
      </c>
      <c r="B37" s="10"/>
      <c r="C37" s="10"/>
      <c r="D37" s="1">
        <v>96.16</v>
      </c>
      <c r="E37" s="296">
        <v>2679.11</v>
      </c>
    </row>
    <row r="38" spans="1:6">
      <c r="A38" s="1"/>
      <c r="B38" s="10"/>
      <c r="C38" s="10"/>
      <c r="D38" s="1"/>
      <c r="E38" s="1"/>
    </row>
    <row r="39" spans="1:6">
      <c r="A39" s="288" t="s">
        <v>163</v>
      </c>
      <c r="B39" s="288">
        <v>1046</v>
      </c>
      <c r="C39" s="288" t="s">
        <v>51</v>
      </c>
      <c r="D39" s="288">
        <v>26.22</v>
      </c>
      <c r="E39" s="298">
        <v>899.76</v>
      </c>
      <c r="F39" t="s">
        <v>508</v>
      </c>
    </row>
    <row r="40" spans="1:6">
      <c r="A40" s="1" t="s">
        <v>7</v>
      </c>
      <c r="B40" s="10"/>
      <c r="C40" s="10"/>
      <c r="D40" s="1">
        <v>26.22</v>
      </c>
      <c r="E40" s="296">
        <v>899.76</v>
      </c>
    </row>
    <row r="41" spans="1:6">
      <c r="A41" s="1"/>
      <c r="B41" s="10"/>
      <c r="C41" s="10"/>
      <c r="D41" s="1"/>
      <c r="E41" s="1"/>
    </row>
    <row r="42" spans="1:6">
      <c r="A42" s="288" t="s">
        <v>203</v>
      </c>
      <c r="B42" s="288">
        <v>1047</v>
      </c>
      <c r="C42" s="288" t="s">
        <v>60</v>
      </c>
      <c r="D42" s="288">
        <v>15.13</v>
      </c>
      <c r="E42" s="298">
        <v>354.12</v>
      </c>
      <c r="F42" t="s">
        <v>508</v>
      </c>
    </row>
    <row r="43" spans="1:6">
      <c r="A43" s="10" t="s">
        <v>548</v>
      </c>
      <c r="B43" s="10">
        <v>1047</v>
      </c>
      <c r="C43" s="10" t="s">
        <v>60</v>
      </c>
      <c r="D43" s="10">
        <v>1.72</v>
      </c>
      <c r="E43" s="295">
        <v>37.340000000000003</v>
      </c>
    </row>
    <row r="44" spans="1:6">
      <c r="A44" s="10" t="s">
        <v>64</v>
      </c>
      <c r="B44" s="10">
        <v>1047</v>
      </c>
      <c r="C44" s="10" t="s">
        <v>60</v>
      </c>
      <c r="D44" s="10">
        <v>2.92</v>
      </c>
      <c r="E44" s="295">
        <v>68.25</v>
      </c>
    </row>
    <row r="45" spans="1:6">
      <c r="A45" s="1" t="s">
        <v>7</v>
      </c>
      <c r="B45" s="10"/>
      <c r="C45" s="10"/>
      <c r="D45" s="1">
        <v>19.77</v>
      </c>
      <c r="E45" s="296">
        <v>459.71</v>
      </c>
    </row>
    <row r="46" spans="1:6">
      <c r="A46" s="1"/>
      <c r="B46" s="10"/>
      <c r="C46" s="10"/>
      <c r="D46" s="1"/>
      <c r="E46" s="1"/>
    </row>
    <row r="47" spans="1:6">
      <c r="A47" s="10" t="s">
        <v>528</v>
      </c>
      <c r="B47" s="10">
        <v>1048</v>
      </c>
      <c r="C47" s="10" t="s">
        <v>45</v>
      </c>
      <c r="D47" s="10">
        <v>0.37</v>
      </c>
      <c r="E47" s="295">
        <v>9.35</v>
      </c>
    </row>
    <row r="48" spans="1:6">
      <c r="A48" s="10" t="s">
        <v>570</v>
      </c>
      <c r="B48" s="10">
        <v>1048</v>
      </c>
      <c r="C48" s="10" t="s">
        <v>45</v>
      </c>
      <c r="D48" s="10">
        <v>0.2</v>
      </c>
      <c r="E48" s="295">
        <v>4.95</v>
      </c>
    </row>
    <row r="49" spans="1:6">
      <c r="A49" s="10" t="s">
        <v>479</v>
      </c>
      <c r="B49" s="10">
        <v>1048</v>
      </c>
      <c r="C49" s="10" t="s">
        <v>45</v>
      </c>
      <c r="D49" s="10">
        <v>1.1200000000000001</v>
      </c>
      <c r="E49" s="295">
        <v>31.36</v>
      </c>
    </row>
    <row r="50" spans="1:6">
      <c r="A50" s="288" t="s">
        <v>474</v>
      </c>
      <c r="B50" s="288">
        <v>1048</v>
      </c>
      <c r="C50" s="288" t="s">
        <v>45</v>
      </c>
      <c r="D50" s="288">
        <v>11.95</v>
      </c>
      <c r="E50" s="298">
        <v>307.58999999999997</v>
      </c>
      <c r="F50" t="s">
        <v>508</v>
      </c>
    </row>
    <row r="51" spans="1:6">
      <c r="A51" s="1" t="s">
        <v>7</v>
      </c>
      <c r="B51" s="10"/>
      <c r="C51" s="10"/>
      <c r="D51" s="1">
        <v>13.64</v>
      </c>
      <c r="E51" s="296">
        <v>353.25</v>
      </c>
    </row>
    <row r="52" spans="1:6">
      <c r="A52" s="1"/>
      <c r="B52" s="10"/>
      <c r="C52" s="10"/>
      <c r="D52" s="1"/>
      <c r="E52" s="1"/>
    </row>
    <row r="53" spans="1:6">
      <c r="A53" s="10" t="s">
        <v>571</v>
      </c>
      <c r="B53" s="10">
        <v>1049</v>
      </c>
      <c r="C53" s="10" t="s">
        <v>54</v>
      </c>
      <c r="D53" s="10">
        <v>3</v>
      </c>
      <c r="E53" s="295">
        <v>76.5</v>
      </c>
    </row>
    <row r="54" spans="1:6">
      <c r="A54" s="10" t="s">
        <v>549</v>
      </c>
      <c r="B54" s="10">
        <v>1049</v>
      </c>
      <c r="C54" s="10" t="s">
        <v>54</v>
      </c>
      <c r="D54" s="10">
        <v>1.82</v>
      </c>
      <c r="E54" s="295">
        <v>47.69</v>
      </c>
    </row>
    <row r="55" spans="1:6">
      <c r="A55" s="288" t="s">
        <v>292</v>
      </c>
      <c r="B55" s="288">
        <v>1049</v>
      </c>
      <c r="C55" s="288" t="s">
        <v>54</v>
      </c>
      <c r="D55" s="288">
        <v>16.75</v>
      </c>
      <c r="E55" s="298">
        <v>453</v>
      </c>
      <c r="F55" t="s">
        <v>508</v>
      </c>
    </row>
    <row r="56" spans="1:6">
      <c r="A56" s="288" t="s">
        <v>159</v>
      </c>
      <c r="B56" s="288">
        <v>1049</v>
      </c>
      <c r="C56" s="288" t="s">
        <v>54</v>
      </c>
      <c r="D56" s="288">
        <v>18.55</v>
      </c>
      <c r="E56" s="298">
        <v>473.03</v>
      </c>
    </row>
    <row r="57" spans="1:6">
      <c r="A57" s="288" t="s">
        <v>484</v>
      </c>
      <c r="B57" s="288">
        <v>1049</v>
      </c>
      <c r="C57" s="288" t="s">
        <v>54</v>
      </c>
      <c r="D57" s="288">
        <v>6.52</v>
      </c>
      <c r="E57" s="298">
        <v>171.16</v>
      </c>
    </row>
    <row r="58" spans="1:6">
      <c r="A58" s="1" t="s">
        <v>7</v>
      </c>
      <c r="B58" s="10"/>
      <c r="C58" s="10"/>
      <c r="D58" s="1">
        <v>46.64</v>
      </c>
      <c r="E58" s="296">
        <v>1221.3800000000001</v>
      </c>
    </row>
    <row r="59" spans="1:6">
      <c r="A59" s="1"/>
      <c r="B59" s="10"/>
      <c r="C59" s="10"/>
      <c r="D59" s="1"/>
      <c r="E59" s="1"/>
    </row>
    <row r="60" spans="1:6">
      <c r="A60" s="10" t="s">
        <v>550</v>
      </c>
      <c r="B60" s="10">
        <v>1055</v>
      </c>
      <c r="C60" s="10" t="s">
        <v>241</v>
      </c>
      <c r="D60" s="10">
        <v>2.93</v>
      </c>
      <c r="E60" s="295">
        <v>110</v>
      </c>
    </row>
    <row r="61" spans="1:6">
      <c r="A61" s="1" t="s">
        <v>7</v>
      </c>
      <c r="B61" s="10"/>
      <c r="C61" s="10"/>
      <c r="D61" s="1">
        <v>2.93</v>
      </c>
      <c r="E61" s="296">
        <v>110</v>
      </c>
    </row>
    <row r="62" spans="1:6">
      <c r="A62" s="1"/>
      <c r="B62" s="10"/>
      <c r="C62" s="10"/>
      <c r="D62" s="1"/>
      <c r="E62" s="1"/>
    </row>
    <row r="63" spans="1:6">
      <c r="A63" s="10" t="s">
        <v>459</v>
      </c>
      <c r="B63" s="10">
        <v>1060</v>
      </c>
      <c r="C63" s="10" t="s">
        <v>25</v>
      </c>
      <c r="D63" s="10">
        <v>2.37</v>
      </c>
      <c r="E63" s="295">
        <v>76.790000000000006</v>
      </c>
    </row>
    <row r="64" spans="1:6">
      <c r="A64" s="10" t="s">
        <v>493</v>
      </c>
      <c r="B64" s="10">
        <v>1060</v>
      </c>
      <c r="C64" s="10" t="s">
        <v>25</v>
      </c>
      <c r="D64" s="10">
        <v>0.63</v>
      </c>
      <c r="E64" s="295">
        <v>20.350000000000001</v>
      </c>
    </row>
    <row r="65" spans="1:6">
      <c r="A65" s="10" t="s">
        <v>551</v>
      </c>
      <c r="B65" s="10">
        <v>1060</v>
      </c>
      <c r="C65" s="10" t="s">
        <v>25</v>
      </c>
      <c r="D65" s="10">
        <v>0.03</v>
      </c>
      <c r="E65" s="295">
        <v>1.05</v>
      </c>
    </row>
    <row r="66" spans="1:6">
      <c r="A66" s="10" t="s">
        <v>512</v>
      </c>
      <c r="B66" s="10">
        <v>1060</v>
      </c>
      <c r="C66" s="10" t="s">
        <v>25</v>
      </c>
      <c r="D66" s="10">
        <v>0.78</v>
      </c>
      <c r="E66" s="295">
        <v>25.17</v>
      </c>
    </row>
    <row r="67" spans="1:6">
      <c r="A67" s="10" t="s">
        <v>505</v>
      </c>
      <c r="B67" s="10">
        <v>1060</v>
      </c>
      <c r="C67" s="10" t="s">
        <v>25</v>
      </c>
      <c r="D67" s="10">
        <v>0.98</v>
      </c>
      <c r="E67" s="295">
        <v>31.48</v>
      </c>
    </row>
    <row r="68" spans="1:6">
      <c r="A68" s="10" t="s">
        <v>500</v>
      </c>
      <c r="B68" s="10">
        <v>1060</v>
      </c>
      <c r="C68" s="10" t="s">
        <v>25</v>
      </c>
      <c r="D68" s="10">
        <v>0.53</v>
      </c>
      <c r="E68" s="295">
        <v>16.32</v>
      </c>
    </row>
    <row r="69" spans="1:6">
      <c r="A69" s="10" t="s">
        <v>487</v>
      </c>
      <c r="B69" s="10">
        <v>1060</v>
      </c>
      <c r="C69" s="10" t="s">
        <v>25</v>
      </c>
      <c r="D69" s="10">
        <v>0.28000000000000003</v>
      </c>
      <c r="E69" s="295">
        <v>9.85</v>
      </c>
    </row>
    <row r="70" spans="1:6">
      <c r="A70" s="10" t="s">
        <v>397</v>
      </c>
      <c r="B70" s="10">
        <v>1060</v>
      </c>
      <c r="C70" s="10" t="s">
        <v>25</v>
      </c>
      <c r="D70" s="10">
        <v>0.53</v>
      </c>
      <c r="E70" s="295">
        <v>17.37</v>
      </c>
    </row>
    <row r="71" spans="1:6">
      <c r="A71" s="1" t="s">
        <v>7</v>
      </c>
      <c r="B71" s="10"/>
      <c r="C71" s="10"/>
      <c r="D71" s="1">
        <v>6.13</v>
      </c>
      <c r="E71" s="296">
        <v>198.38</v>
      </c>
    </row>
    <row r="72" spans="1:6">
      <c r="A72" s="1"/>
      <c r="B72" s="10"/>
      <c r="C72" s="10"/>
      <c r="D72" s="1"/>
      <c r="E72" s="1"/>
    </row>
    <row r="73" spans="1:6">
      <c r="A73" s="10" t="s">
        <v>572</v>
      </c>
      <c r="B73" s="10">
        <v>1065</v>
      </c>
      <c r="C73" s="10" t="s">
        <v>12</v>
      </c>
      <c r="D73" s="10">
        <v>0.55000000000000004</v>
      </c>
      <c r="E73" s="295">
        <v>17.329999999999998</v>
      </c>
    </row>
    <row r="74" spans="1:6">
      <c r="A74" s="10" t="s">
        <v>413</v>
      </c>
      <c r="B74" s="10">
        <v>1065</v>
      </c>
      <c r="C74" s="10" t="s">
        <v>12</v>
      </c>
      <c r="D74" s="10">
        <v>0.77</v>
      </c>
      <c r="E74" s="295">
        <v>28.14</v>
      </c>
    </row>
    <row r="75" spans="1:6">
      <c r="A75" s="1" t="s">
        <v>7</v>
      </c>
      <c r="B75" s="10"/>
      <c r="C75" s="10"/>
      <c r="D75" s="1">
        <v>1.32</v>
      </c>
      <c r="E75" s="296">
        <v>45.47</v>
      </c>
    </row>
    <row r="76" spans="1:6">
      <c r="A76" s="1"/>
      <c r="B76" s="10"/>
      <c r="C76" s="10"/>
      <c r="D76" s="1"/>
      <c r="E76" s="1"/>
    </row>
    <row r="77" spans="1:6">
      <c r="A77" s="288" t="s">
        <v>41</v>
      </c>
      <c r="B77" s="288">
        <v>100051</v>
      </c>
      <c r="C77" s="288" t="s">
        <v>34</v>
      </c>
      <c r="D77" s="288">
        <v>5.9</v>
      </c>
      <c r="E77" s="298">
        <v>165.67</v>
      </c>
      <c r="F77" t="s">
        <v>508</v>
      </c>
    </row>
    <row r="78" spans="1:6">
      <c r="A78" s="1" t="s">
        <v>7</v>
      </c>
      <c r="B78" s="10"/>
      <c r="C78" s="10"/>
      <c r="D78" s="1">
        <v>5.9</v>
      </c>
      <c r="E78" s="296">
        <v>165.67</v>
      </c>
    </row>
    <row r="79" spans="1:6">
      <c r="A79" s="1"/>
      <c r="B79" s="10"/>
      <c r="C79" s="10"/>
      <c r="D79" s="1"/>
      <c r="E79" s="1"/>
    </row>
    <row r="80" spans="1:6">
      <c r="A80" s="10" t="s">
        <v>369</v>
      </c>
      <c r="B80" s="10">
        <v>450044</v>
      </c>
      <c r="C80" s="10" t="s">
        <v>519</v>
      </c>
      <c r="D80" s="10">
        <v>0.25</v>
      </c>
      <c r="E80" s="295">
        <v>6.75</v>
      </c>
    </row>
    <row r="81" spans="1:5">
      <c r="A81" s="1" t="s">
        <v>7</v>
      </c>
      <c r="B81" s="10"/>
      <c r="C81" s="10"/>
      <c r="D81" s="1">
        <v>0.25</v>
      </c>
      <c r="E81" s="296">
        <v>6.75</v>
      </c>
    </row>
    <row r="82" spans="1:5">
      <c r="A82" s="1"/>
      <c r="B82" s="10"/>
      <c r="C82" s="10"/>
      <c r="D82" s="1"/>
      <c r="E82" s="1"/>
    </row>
    <row r="83" spans="1:5">
      <c r="A83" s="10" t="s">
        <v>475</v>
      </c>
      <c r="B83" s="10" t="s">
        <v>476</v>
      </c>
      <c r="C83" s="10" t="s">
        <v>477</v>
      </c>
      <c r="D83" s="10">
        <v>3.37</v>
      </c>
      <c r="E83" s="295">
        <v>125.04</v>
      </c>
    </row>
    <row r="84" spans="1:5">
      <c r="A84" s="1" t="s">
        <v>7</v>
      </c>
      <c r="B84" s="10"/>
      <c r="C84" s="10"/>
      <c r="D84" s="1">
        <v>3.37</v>
      </c>
      <c r="E84" s="296">
        <v>125.04</v>
      </c>
    </row>
    <row r="85" spans="1:5">
      <c r="A85" s="1"/>
      <c r="B85" s="10"/>
      <c r="C85" s="10"/>
      <c r="D85" s="1"/>
      <c r="E85" s="1"/>
    </row>
    <row r="86" spans="1:5">
      <c r="A86" s="10" t="s">
        <v>573</v>
      </c>
      <c r="B86" s="10" t="s">
        <v>574</v>
      </c>
      <c r="C86" s="10" t="s">
        <v>575</v>
      </c>
      <c r="D86" s="10">
        <v>0.62</v>
      </c>
      <c r="E86" s="295">
        <v>17.5</v>
      </c>
    </row>
    <row r="87" spans="1:5">
      <c r="A87" s="10" t="s">
        <v>576</v>
      </c>
      <c r="B87" s="10" t="s">
        <v>574</v>
      </c>
      <c r="C87" s="10" t="s">
        <v>575</v>
      </c>
      <c r="D87" s="10">
        <v>1.37</v>
      </c>
      <c r="E87" s="295">
        <v>39.93</v>
      </c>
    </row>
    <row r="88" spans="1:5">
      <c r="A88" s="1" t="s">
        <v>7</v>
      </c>
      <c r="B88" s="1"/>
      <c r="C88" s="1"/>
      <c r="D88" s="1">
        <v>1.99</v>
      </c>
      <c r="E88" s="296">
        <v>57.43</v>
      </c>
    </row>
    <row r="89" spans="1:5">
      <c r="A89" s="1"/>
      <c r="B89" s="10"/>
      <c r="C89" s="10"/>
      <c r="D89" s="1"/>
      <c r="E89" s="1"/>
    </row>
    <row r="90" spans="1:5">
      <c r="A90" s="1" t="s">
        <v>194</v>
      </c>
      <c r="B90" s="10"/>
      <c r="C90" s="10"/>
      <c r="D90" s="1">
        <v>249.31</v>
      </c>
      <c r="E90" s="296">
        <v>7207.52</v>
      </c>
    </row>
    <row r="91" spans="1:5">
      <c r="A91" s="1"/>
      <c r="B91" s="10"/>
      <c r="C91" s="10"/>
      <c r="D91" s="1"/>
      <c r="E91" s="1"/>
    </row>
    <row r="92" spans="1:5">
      <c r="A92" s="10"/>
      <c r="B92" s="10"/>
      <c r="C92" s="10"/>
      <c r="D92" s="10"/>
      <c r="E92" s="10"/>
    </row>
    <row r="93" spans="1:5">
      <c r="A93" s="10"/>
      <c r="B93" s="10"/>
      <c r="C93" s="10"/>
      <c r="D93" s="10"/>
      <c r="E93" s="10"/>
    </row>
    <row r="94" spans="1:5">
      <c r="A94" s="1"/>
      <c r="B94" s="10"/>
      <c r="C94" s="10"/>
      <c r="D94" s="1"/>
      <c r="E94" s="1"/>
    </row>
    <row r="95" spans="1:5">
      <c r="A95" s="1"/>
      <c r="B95" s="10"/>
      <c r="C95" s="10"/>
      <c r="D95" s="1"/>
      <c r="E95" s="1"/>
    </row>
    <row r="96" spans="1:5">
      <c r="A96" s="10"/>
      <c r="B96" s="10"/>
      <c r="C96" s="10"/>
      <c r="D96" s="10"/>
      <c r="E96" s="10"/>
    </row>
    <row r="97" spans="1:5">
      <c r="A97" s="1"/>
      <c r="B97" s="10"/>
      <c r="C97" s="10"/>
      <c r="D97" s="1"/>
      <c r="E97" s="1"/>
    </row>
    <row r="98" spans="1:5">
      <c r="A98" s="1"/>
      <c r="B98" s="10"/>
      <c r="C98" s="10"/>
      <c r="D98" s="1"/>
      <c r="E98" s="1"/>
    </row>
    <row r="99" spans="1:5">
      <c r="A99" s="10"/>
      <c r="B99" s="10"/>
      <c r="C99" s="10"/>
      <c r="D99" s="10"/>
      <c r="E99" s="10"/>
    </row>
    <row r="100" spans="1:5">
      <c r="A100" s="1"/>
      <c r="B100" s="10"/>
      <c r="C100" s="10"/>
      <c r="D100" s="1"/>
      <c r="E100" s="1"/>
    </row>
    <row r="101" spans="1:5">
      <c r="A101" s="1"/>
      <c r="B101" s="10"/>
      <c r="C101" s="10"/>
      <c r="D101" s="1"/>
      <c r="E101" s="1"/>
    </row>
    <row r="102" spans="1:5">
      <c r="A102" s="10"/>
      <c r="B102" s="10"/>
      <c r="C102" s="10"/>
      <c r="D102" s="10"/>
      <c r="E102" s="10"/>
    </row>
    <row r="103" spans="1:5">
      <c r="A103" s="10"/>
      <c r="B103" s="10"/>
      <c r="C103" s="10"/>
      <c r="D103" s="10"/>
      <c r="E103" s="10"/>
    </row>
    <row r="104" spans="1:5">
      <c r="A104" s="1"/>
      <c r="B104" s="10"/>
      <c r="C104" s="10"/>
      <c r="D104" s="1"/>
      <c r="E104" s="1"/>
    </row>
    <row r="105" spans="1:5">
      <c r="A105" s="1"/>
      <c r="B105" s="10"/>
      <c r="C105" s="10"/>
      <c r="D105" s="10"/>
      <c r="E105" s="10"/>
    </row>
    <row r="106" spans="1:5">
      <c r="A106" s="1"/>
      <c r="B106" s="10"/>
      <c r="C106" s="10"/>
      <c r="D106" s="1"/>
      <c r="E106" s="1"/>
    </row>
    <row r="107" spans="1:5">
      <c r="A107" s="10"/>
      <c r="B107" s="10"/>
      <c r="C107" s="10"/>
      <c r="D107" s="1"/>
      <c r="E107" s="1"/>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075EB-AD49-443A-85E2-A771D0E9FE43}">
  <dimension ref="A1:K127"/>
  <sheetViews>
    <sheetView workbookViewId="0">
      <selection activeCell="F104" sqref="F104"/>
    </sheetView>
  </sheetViews>
  <sheetFormatPr defaultRowHeight="12.75"/>
  <cols>
    <col min="1" max="1" width="31.7109375" style="123" customWidth="1"/>
    <col min="2" max="2" width="22.7109375" style="123" customWidth="1"/>
    <col min="3" max="3" width="36.7109375" style="123" customWidth="1"/>
    <col min="4" max="4" width="19.5703125" style="20" customWidth="1"/>
    <col min="5" max="5" width="25.7109375" style="20" customWidth="1"/>
    <col min="6" max="6" width="13.7109375" customWidth="1"/>
    <col min="7" max="7" width="9.85546875" bestFit="1" customWidth="1"/>
    <col min="8" max="8" width="20" customWidth="1"/>
    <col min="9" max="9" width="9" bestFit="1" customWidth="1"/>
    <col min="10" max="10" width="11.140625" customWidth="1"/>
  </cols>
  <sheetData>
    <row r="1" spans="1:11">
      <c r="A1" s="122" t="s">
        <v>147</v>
      </c>
      <c r="B1" s="122" t="s">
        <v>148</v>
      </c>
      <c r="C1" s="122" t="s">
        <v>149</v>
      </c>
      <c r="D1" s="19" t="s">
        <v>150</v>
      </c>
      <c r="E1" s="19" t="s">
        <v>151</v>
      </c>
      <c r="G1" s="232" t="s">
        <v>259</v>
      </c>
      <c r="H1" s="233" t="s">
        <v>334</v>
      </c>
      <c r="I1" s="234" t="s">
        <v>260</v>
      </c>
      <c r="J1" s="235" t="s">
        <v>262</v>
      </c>
      <c r="K1" s="236" t="s">
        <v>261</v>
      </c>
    </row>
    <row r="2" spans="1:11">
      <c r="A2" s="124" t="s">
        <v>14</v>
      </c>
      <c r="B2" s="125" t="s">
        <v>152</v>
      </c>
      <c r="C2" s="124" t="s">
        <v>15</v>
      </c>
      <c r="D2" s="21">
        <v>0.13</v>
      </c>
      <c r="E2" s="22">
        <v>4.55</v>
      </c>
      <c r="G2" s="238">
        <f>E26+E27+E28+E29+E30+E31+E33+E35+E37+E38+E39+E40+E41+E43+E44+E45+E46+E48+E50+E55+E58+E59+E64+E67+E68+E69+E72+E71+E93+E96+E97</f>
        <v>10488.739999999998</v>
      </c>
      <c r="H2" s="239">
        <v>0</v>
      </c>
      <c r="I2" s="240">
        <f>E16+E103</f>
        <v>970.4</v>
      </c>
      <c r="J2" s="241">
        <v>0</v>
      </c>
      <c r="K2" s="242">
        <v>0</v>
      </c>
    </row>
    <row r="3" spans="1:11">
      <c r="A3" s="124" t="s">
        <v>506</v>
      </c>
      <c r="B3" s="125" t="s">
        <v>152</v>
      </c>
      <c r="C3" s="124" t="s">
        <v>15</v>
      </c>
      <c r="D3" s="21">
        <v>0.22</v>
      </c>
      <c r="E3" s="22">
        <v>7.36</v>
      </c>
      <c r="G3" s="243"/>
      <c r="H3" s="231" t="s">
        <v>263</v>
      </c>
      <c r="I3" s="243"/>
      <c r="J3" s="243"/>
      <c r="K3" s="243"/>
    </row>
    <row r="4" spans="1:11">
      <c r="A4" s="124" t="s">
        <v>507</v>
      </c>
      <c r="B4" s="125" t="s">
        <v>152</v>
      </c>
      <c r="C4" s="124" t="s">
        <v>15</v>
      </c>
      <c r="D4" s="21">
        <v>2.35</v>
      </c>
      <c r="E4" s="22">
        <v>66.52</v>
      </c>
      <c r="G4" s="244"/>
      <c r="H4" s="244" t="s">
        <v>587</v>
      </c>
      <c r="I4" s="244"/>
      <c r="J4" s="244"/>
      <c r="K4" s="244"/>
    </row>
    <row r="5" spans="1:11">
      <c r="A5" s="124" t="s">
        <v>389</v>
      </c>
      <c r="B5" s="125" t="s">
        <v>152</v>
      </c>
      <c r="C5" s="124" t="s">
        <v>15</v>
      </c>
      <c r="D5" s="21">
        <v>0.98</v>
      </c>
      <c r="E5" s="22">
        <v>31.99</v>
      </c>
      <c r="G5" s="231"/>
      <c r="H5" s="231" t="s">
        <v>461</v>
      </c>
      <c r="I5" s="231"/>
      <c r="J5" s="231"/>
      <c r="K5" s="231"/>
    </row>
    <row r="6" spans="1:11" ht="15">
      <c r="A6" s="124" t="s">
        <v>545</v>
      </c>
      <c r="B6" s="125" t="s">
        <v>152</v>
      </c>
      <c r="C6" s="124" t="s">
        <v>15</v>
      </c>
      <c r="D6" s="21">
        <v>0.65</v>
      </c>
      <c r="E6" s="22">
        <v>19.5</v>
      </c>
      <c r="G6" s="231"/>
      <c r="H6" s="247" t="s">
        <v>454</v>
      </c>
      <c r="I6" s="231"/>
      <c r="J6" s="231"/>
      <c r="K6" s="231"/>
    </row>
    <row r="7" spans="1:11">
      <c r="A7" s="124" t="s">
        <v>496</v>
      </c>
      <c r="B7" s="125" t="s">
        <v>152</v>
      </c>
      <c r="C7" s="124" t="s">
        <v>15</v>
      </c>
      <c r="D7" s="21">
        <v>0.13</v>
      </c>
      <c r="E7" s="22">
        <v>4.28</v>
      </c>
    </row>
    <row r="8" spans="1:11">
      <c r="A8" s="124" t="s">
        <v>377</v>
      </c>
      <c r="B8" s="125" t="s">
        <v>152</v>
      </c>
      <c r="C8" s="124" t="s">
        <v>15</v>
      </c>
      <c r="D8" s="21">
        <v>1.38</v>
      </c>
      <c r="E8" s="22">
        <v>47.66</v>
      </c>
    </row>
    <row r="9" spans="1:11">
      <c r="A9" s="124" t="s">
        <v>469</v>
      </c>
      <c r="B9" s="125" t="s">
        <v>152</v>
      </c>
      <c r="C9" s="124" t="s">
        <v>15</v>
      </c>
      <c r="D9" s="21">
        <v>0.02</v>
      </c>
      <c r="E9" s="22">
        <v>0.56000000000000005</v>
      </c>
    </row>
    <row r="10" spans="1:11">
      <c r="A10" s="124" t="s">
        <v>556</v>
      </c>
      <c r="B10" s="125" t="s">
        <v>152</v>
      </c>
      <c r="C10" s="124" t="s">
        <v>15</v>
      </c>
      <c r="D10" s="21">
        <v>0.02</v>
      </c>
      <c r="E10" s="22">
        <v>0.53</v>
      </c>
    </row>
    <row r="11" spans="1:11">
      <c r="A11" s="127" t="s">
        <v>7</v>
      </c>
      <c r="B11" s="124"/>
      <c r="C11" s="124"/>
      <c r="D11" s="26">
        <f>SUM(D2:D10)</f>
        <v>5.879999999999999</v>
      </c>
      <c r="E11" s="25">
        <f>SUM(E2:E10)</f>
        <v>182.95</v>
      </c>
    </row>
    <row r="12" spans="1:11">
      <c r="A12" s="127"/>
      <c r="B12" s="124"/>
      <c r="C12" s="124"/>
      <c r="D12" s="26"/>
      <c r="E12" s="25"/>
    </row>
    <row r="13" spans="1:11">
      <c r="A13" s="124" t="s">
        <v>307</v>
      </c>
      <c r="B13" s="124">
        <v>100035</v>
      </c>
      <c r="C13" s="124" t="s">
        <v>560</v>
      </c>
      <c r="D13" s="21">
        <v>0.95</v>
      </c>
      <c r="E13" s="22">
        <v>39.03</v>
      </c>
    </row>
    <row r="14" spans="1:11">
      <c r="A14" s="124" t="s">
        <v>578</v>
      </c>
      <c r="B14" s="124">
        <v>100035</v>
      </c>
      <c r="C14" s="124" t="s">
        <v>560</v>
      </c>
      <c r="D14" s="21">
        <v>2.1</v>
      </c>
      <c r="E14" s="22">
        <v>74.03</v>
      </c>
    </row>
    <row r="15" spans="1:11">
      <c r="A15" s="124" t="s">
        <v>579</v>
      </c>
      <c r="B15" s="125" t="s">
        <v>154</v>
      </c>
      <c r="C15" s="124" t="s">
        <v>23</v>
      </c>
      <c r="D15" s="21">
        <v>0.08</v>
      </c>
      <c r="E15" s="22">
        <v>2.88</v>
      </c>
    </row>
    <row r="16" spans="1:11">
      <c r="A16" s="144" t="s">
        <v>501</v>
      </c>
      <c r="B16" s="145" t="s">
        <v>154</v>
      </c>
      <c r="C16" s="144" t="s">
        <v>23</v>
      </c>
      <c r="D16" s="49">
        <v>19.899999999999999</v>
      </c>
      <c r="E16" s="50">
        <v>761.18</v>
      </c>
      <c r="F16" t="s">
        <v>508</v>
      </c>
      <c r="G16" t="s">
        <v>588</v>
      </c>
    </row>
    <row r="17" spans="1:8">
      <c r="A17" s="124" t="s">
        <v>494</v>
      </c>
      <c r="B17" s="125">
        <v>400035</v>
      </c>
      <c r="C17" s="124" t="s">
        <v>541</v>
      </c>
      <c r="D17" s="21">
        <v>1.32</v>
      </c>
      <c r="E17" s="22">
        <v>52.89</v>
      </c>
    </row>
    <row r="18" spans="1:8">
      <c r="A18" s="127" t="s">
        <v>7</v>
      </c>
      <c r="B18" s="124"/>
      <c r="C18" s="124"/>
      <c r="D18" s="26">
        <f>SUM(D13:D17)</f>
        <v>24.349999999999998</v>
      </c>
      <c r="E18" s="25">
        <f>SUM(E13:E17)</f>
        <v>930.00999999999988</v>
      </c>
    </row>
    <row r="19" spans="1:8">
      <c r="A19" s="127"/>
      <c r="B19" s="125"/>
      <c r="C19" s="124"/>
      <c r="D19" s="26"/>
      <c r="E19" s="25"/>
    </row>
    <row r="20" spans="1:8">
      <c r="A20" s="124" t="s">
        <v>471</v>
      </c>
      <c r="B20" s="125" t="s">
        <v>155</v>
      </c>
      <c r="C20" s="124" t="s">
        <v>196</v>
      </c>
      <c r="D20" s="21">
        <v>0.03</v>
      </c>
      <c r="E20" s="22">
        <v>1.17</v>
      </c>
    </row>
    <row r="21" spans="1:8">
      <c r="A21" s="127" t="s">
        <v>7</v>
      </c>
      <c r="B21" s="124"/>
      <c r="C21" s="124"/>
      <c r="D21" s="26">
        <f>SUM(D20:D20)</f>
        <v>0.03</v>
      </c>
      <c r="E21" s="25">
        <f>SUM(E20:E20)</f>
        <v>1.17</v>
      </c>
    </row>
    <row r="22" spans="1:8">
      <c r="A22" s="127"/>
      <c r="B22" s="124"/>
      <c r="C22" s="124"/>
      <c r="D22" s="26"/>
      <c r="E22" s="25"/>
    </row>
    <row r="23" spans="1:8">
      <c r="A23" s="124" t="s">
        <v>94</v>
      </c>
      <c r="B23" s="125" t="s">
        <v>156</v>
      </c>
      <c r="C23" s="124" t="s">
        <v>91</v>
      </c>
      <c r="D23" s="21">
        <v>2.57</v>
      </c>
      <c r="E23" s="22">
        <v>82.47</v>
      </c>
    </row>
    <row r="24" spans="1:8">
      <c r="A24" s="127" t="s">
        <v>7</v>
      </c>
      <c r="B24" s="124"/>
      <c r="C24" s="124"/>
      <c r="D24" s="26">
        <f>SUM(D23)</f>
        <v>2.57</v>
      </c>
      <c r="E24" s="25">
        <f>SUM(E23)</f>
        <v>82.47</v>
      </c>
    </row>
    <row r="25" spans="1:8">
      <c r="A25" s="124"/>
      <c r="B25" s="124"/>
      <c r="C25" s="124"/>
      <c r="D25" s="21"/>
      <c r="E25" s="22"/>
    </row>
    <row r="26" spans="1:8">
      <c r="A26" s="140" t="s">
        <v>391</v>
      </c>
      <c r="B26" s="141" t="s">
        <v>157</v>
      </c>
      <c r="C26" s="140" t="s">
        <v>66</v>
      </c>
      <c r="D26" s="29">
        <v>30.5</v>
      </c>
      <c r="E26" s="30">
        <v>848.21</v>
      </c>
      <c r="F26" s="10" t="s">
        <v>508</v>
      </c>
    </row>
    <row r="27" spans="1:8" ht="15">
      <c r="A27" s="140" t="s">
        <v>580</v>
      </c>
      <c r="B27" s="141" t="s">
        <v>157</v>
      </c>
      <c r="C27" s="140" t="s">
        <v>66</v>
      </c>
      <c r="D27" s="29">
        <v>14.1</v>
      </c>
      <c r="E27" s="30">
        <v>338.4</v>
      </c>
      <c r="F27" s="10" t="s">
        <v>508</v>
      </c>
      <c r="G27" t="s">
        <v>589</v>
      </c>
      <c r="H27" s="304" t="s">
        <v>590</v>
      </c>
    </row>
    <row r="28" spans="1:8" ht="15">
      <c r="A28" s="140" t="s">
        <v>228</v>
      </c>
      <c r="B28" s="141" t="s">
        <v>157</v>
      </c>
      <c r="C28" s="140" t="s">
        <v>66</v>
      </c>
      <c r="D28" s="29">
        <v>14.95</v>
      </c>
      <c r="E28" s="30">
        <v>396.25</v>
      </c>
      <c r="F28" s="10" t="s">
        <v>508</v>
      </c>
      <c r="H28" s="304" t="s">
        <v>591</v>
      </c>
    </row>
    <row r="29" spans="1:8" ht="17.25">
      <c r="A29" s="140" t="s">
        <v>562</v>
      </c>
      <c r="B29" s="141" t="s">
        <v>157</v>
      </c>
      <c r="C29" s="140" t="s">
        <v>66</v>
      </c>
      <c r="D29" s="29">
        <v>17</v>
      </c>
      <c r="E29" s="30">
        <v>408</v>
      </c>
      <c r="F29" s="10" t="s">
        <v>508</v>
      </c>
      <c r="H29" s="304" t="s">
        <v>592</v>
      </c>
    </row>
    <row r="30" spans="1:8" ht="15">
      <c r="A30" s="140" t="s">
        <v>509</v>
      </c>
      <c r="B30" s="141" t="s">
        <v>157</v>
      </c>
      <c r="C30" s="140" t="s">
        <v>66</v>
      </c>
      <c r="D30" s="29">
        <v>15.2</v>
      </c>
      <c r="E30" s="30">
        <v>372.1</v>
      </c>
      <c r="F30" s="10" t="s">
        <v>508</v>
      </c>
      <c r="H30" s="304" t="s">
        <v>593</v>
      </c>
    </row>
    <row r="31" spans="1:8">
      <c r="A31" s="140" t="s">
        <v>75</v>
      </c>
      <c r="B31" s="141" t="s">
        <v>157</v>
      </c>
      <c r="C31" s="140" t="s">
        <v>66</v>
      </c>
      <c r="D31" s="29">
        <v>19.829999999999998</v>
      </c>
      <c r="E31" s="30">
        <v>609.88</v>
      </c>
      <c r="F31" s="10" t="s">
        <v>508</v>
      </c>
    </row>
    <row r="32" spans="1:8">
      <c r="A32" s="124" t="s">
        <v>210</v>
      </c>
      <c r="B32" s="125" t="s">
        <v>157</v>
      </c>
      <c r="C32" s="124" t="s">
        <v>66</v>
      </c>
      <c r="D32" s="21">
        <v>0.02</v>
      </c>
      <c r="E32" s="22">
        <v>0.44</v>
      </c>
      <c r="F32" s="10"/>
    </row>
    <row r="33" spans="1:6">
      <c r="A33" s="140" t="s">
        <v>472</v>
      </c>
      <c r="B33" s="141" t="s">
        <v>157</v>
      </c>
      <c r="C33" s="140" t="s">
        <v>66</v>
      </c>
      <c r="D33" s="29">
        <v>20</v>
      </c>
      <c r="E33" s="30">
        <v>494.4</v>
      </c>
      <c r="F33" s="10" t="s">
        <v>508</v>
      </c>
    </row>
    <row r="34" spans="1:6">
      <c r="A34" s="124" t="s">
        <v>267</v>
      </c>
      <c r="B34" s="125" t="s">
        <v>157</v>
      </c>
      <c r="C34" s="124" t="s">
        <v>66</v>
      </c>
      <c r="D34" s="21">
        <v>7.0000000000000007E-2</v>
      </c>
      <c r="E34" s="22">
        <v>1.79</v>
      </c>
      <c r="F34" s="10"/>
    </row>
    <row r="35" spans="1:6">
      <c r="A35" s="140" t="s">
        <v>581</v>
      </c>
      <c r="B35" s="141" t="s">
        <v>157</v>
      </c>
      <c r="C35" s="140" t="s">
        <v>66</v>
      </c>
      <c r="D35" s="29">
        <v>4.13</v>
      </c>
      <c r="E35" s="30">
        <v>99.2</v>
      </c>
      <c r="F35" s="10" t="s">
        <v>508</v>
      </c>
    </row>
    <row r="36" spans="1:6">
      <c r="A36" s="124" t="s">
        <v>473</v>
      </c>
      <c r="B36" s="125" t="s">
        <v>157</v>
      </c>
      <c r="C36" s="124" t="s">
        <v>66</v>
      </c>
      <c r="D36" s="21">
        <v>0.78</v>
      </c>
      <c r="E36" s="22">
        <v>19.16</v>
      </c>
      <c r="F36" s="10"/>
    </row>
    <row r="37" spans="1:6">
      <c r="A37" s="140" t="s">
        <v>582</v>
      </c>
      <c r="B37" s="141" t="s">
        <v>157</v>
      </c>
      <c r="C37" s="140" t="s">
        <v>66</v>
      </c>
      <c r="D37" s="29">
        <v>11.65</v>
      </c>
      <c r="E37" s="30">
        <v>279.60000000000002</v>
      </c>
      <c r="F37" s="10" t="s">
        <v>508</v>
      </c>
    </row>
    <row r="38" spans="1:6">
      <c r="A38" s="140" t="s">
        <v>86</v>
      </c>
      <c r="B38" s="141" t="s">
        <v>157</v>
      </c>
      <c r="C38" s="140" t="s">
        <v>66</v>
      </c>
      <c r="D38" s="29">
        <v>13.72</v>
      </c>
      <c r="E38" s="30">
        <v>392.16</v>
      </c>
      <c r="F38" s="10" t="s">
        <v>508</v>
      </c>
    </row>
    <row r="39" spans="1:6">
      <c r="A39" s="140" t="s">
        <v>464</v>
      </c>
      <c r="B39" s="141" t="s">
        <v>157</v>
      </c>
      <c r="C39" s="140" t="s">
        <v>66</v>
      </c>
      <c r="D39" s="29">
        <v>5.37</v>
      </c>
      <c r="E39" s="30">
        <v>140.88</v>
      </c>
      <c r="F39" s="10" t="s">
        <v>508</v>
      </c>
    </row>
    <row r="40" spans="1:6">
      <c r="A40" s="140" t="s">
        <v>583</v>
      </c>
      <c r="B40" s="141" t="s">
        <v>157</v>
      </c>
      <c r="C40" s="140" t="s">
        <v>66</v>
      </c>
      <c r="D40" s="29">
        <v>8.2799999999999994</v>
      </c>
      <c r="E40" s="30">
        <v>198.8</v>
      </c>
      <c r="F40" s="10" t="s">
        <v>508</v>
      </c>
    </row>
    <row r="41" spans="1:6">
      <c r="A41" s="140" t="s">
        <v>584</v>
      </c>
      <c r="B41" s="141" t="s">
        <v>157</v>
      </c>
      <c r="C41" s="140" t="s">
        <v>66</v>
      </c>
      <c r="D41" s="29">
        <v>4.7699999999999996</v>
      </c>
      <c r="E41" s="30">
        <v>114.4</v>
      </c>
      <c r="F41" s="10" t="s">
        <v>508</v>
      </c>
    </row>
    <row r="42" spans="1:6">
      <c r="A42" s="124" t="s">
        <v>407</v>
      </c>
      <c r="B42" s="125" t="s">
        <v>157</v>
      </c>
      <c r="C42" s="124" t="s">
        <v>66</v>
      </c>
      <c r="D42" s="21">
        <v>2.9</v>
      </c>
      <c r="E42" s="22">
        <v>74.930000000000007</v>
      </c>
      <c r="F42" s="10" t="s">
        <v>508</v>
      </c>
    </row>
    <row r="43" spans="1:6">
      <c r="A43" s="148" t="s">
        <v>328</v>
      </c>
      <c r="B43" s="149" t="s">
        <v>157</v>
      </c>
      <c r="C43" s="148" t="s">
        <v>66</v>
      </c>
      <c r="D43" s="91">
        <v>9.5</v>
      </c>
      <c r="E43" s="30">
        <v>267.19</v>
      </c>
      <c r="F43" s="10" t="s">
        <v>508</v>
      </c>
    </row>
    <row r="44" spans="1:6">
      <c r="A44" s="148" t="s">
        <v>458</v>
      </c>
      <c r="B44" s="149" t="s">
        <v>157</v>
      </c>
      <c r="C44" s="148" t="s">
        <v>66</v>
      </c>
      <c r="D44" s="91">
        <v>7.58</v>
      </c>
      <c r="E44" s="30">
        <v>221.81</v>
      </c>
      <c r="F44" s="10" t="s">
        <v>508</v>
      </c>
    </row>
    <row r="45" spans="1:6">
      <c r="A45" s="148" t="s">
        <v>270</v>
      </c>
      <c r="B45" s="149" t="s">
        <v>157</v>
      </c>
      <c r="C45" s="148" t="s">
        <v>66</v>
      </c>
      <c r="D45" s="91">
        <v>8.92</v>
      </c>
      <c r="E45" s="30">
        <v>273.92</v>
      </c>
      <c r="F45" s="10" t="s">
        <v>508</v>
      </c>
    </row>
    <row r="46" spans="1:6">
      <c r="A46" s="148" t="s">
        <v>79</v>
      </c>
      <c r="B46" s="149" t="s">
        <v>157</v>
      </c>
      <c r="C46" s="148" t="s">
        <v>66</v>
      </c>
      <c r="D46" s="27">
        <v>7.12</v>
      </c>
      <c r="E46" s="30">
        <v>194.82</v>
      </c>
      <c r="F46" s="10" t="s">
        <v>508</v>
      </c>
    </row>
    <row r="47" spans="1:6">
      <c r="A47" s="123" t="s">
        <v>585</v>
      </c>
      <c r="B47" s="132" t="s">
        <v>157</v>
      </c>
      <c r="C47" s="123" t="s">
        <v>66</v>
      </c>
      <c r="D47" s="20">
        <v>1</v>
      </c>
      <c r="E47" s="22">
        <v>21.75</v>
      </c>
      <c r="F47" s="10"/>
    </row>
    <row r="48" spans="1:6">
      <c r="A48" s="148" t="s">
        <v>375</v>
      </c>
      <c r="B48" s="149" t="s">
        <v>157</v>
      </c>
      <c r="C48" s="148" t="s">
        <v>66</v>
      </c>
      <c r="D48" s="27">
        <v>6.97</v>
      </c>
      <c r="E48" s="30">
        <v>188.41</v>
      </c>
      <c r="F48" s="10" t="s">
        <v>508</v>
      </c>
    </row>
    <row r="49" spans="1:6">
      <c r="A49" s="123" t="s">
        <v>39</v>
      </c>
      <c r="B49" s="132" t="s">
        <v>157</v>
      </c>
      <c r="C49" s="123" t="s">
        <v>66</v>
      </c>
      <c r="D49" s="20">
        <v>2.87</v>
      </c>
      <c r="E49" s="22">
        <v>73.099999999999994</v>
      </c>
      <c r="F49" s="10"/>
    </row>
    <row r="50" spans="1:6">
      <c r="A50" s="148" t="s">
        <v>516</v>
      </c>
      <c r="B50" s="149" t="s">
        <v>157</v>
      </c>
      <c r="C50" s="148" t="s">
        <v>66</v>
      </c>
      <c r="D50" s="27">
        <v>19.8</v>
      </c>
      <c r="E50" s="30">
        <v>469.56</v>
      </c>
      <c r="F50" s="10" t="s">
        <v>508</v>
      </c>
    </row>
    <row r="51" spans="1:6">
      <c r="A51" s="123" t="s">
        <v>586</v>
      </c>
      <c r="B51" s="132" t="s">
        <v>157</v>
      </c>
      <c r="C51" s="123" t="s">
        <v>66</v>
      </c>
      <c r="D51" s="20">
        <v>1.4</v>
      </c>
      <c r="E51" s="22">
        <v>33.6</v>
      </c>
      <c r="F51" s="10"/>
    </row>
    <row r="52" spans="1:6">
      <c r="A52" s="123" t="s">
        <v>412</v>
      </c>
      <c r="B52" s="132" t="s">
        <v>157</v>
      </c>
      <c r="C52" s="123" t="s">
        <v>66</v>
      </c>
      <c r="D52" s="20">
        <v>2.2200000000000002</v>
      </c>
      <c r="E52" s="22">
        <v>56.53</v>
      </c>
      <c r="F52" s="10"/>
    </row>
    <row r="53" spans="1:6">
      <c r="A53" s="127" t="s">
        <v>7</v>
      </c>
      <c r="B53" s="124"/>
      <c r="C53" s="124"/>
      <c r="D53" s="26">
        <f>SUM(D26:D52)</f>
        <v>250.65000000000003</v>
      </c>
      <c r="E53" s="25">
        <f>SUM(E26:E52)</f>
        <v>6589.2900000000009</v>
      </c>
      <c r="F53" s="10"/>
    </row>
    <row r="54" spans="1:6">
      <c r="A54" s="127"/>
      <c r="B54" s="124"/>
      <c r="C54" s="124"/>
      <c r="D54" s="26"/>
      <c r="E54" s="25"/>
      <c r="F54" s="10"/>
    </row>
    <row r="55" spans="1:6">
      <c r="A55" s="140" t="s">
        <v>163</v>
      </c>
      <c r="B55" s="141" t="s">
        <v>162</v>
      </c>
      <c r="C55" s="140" t="s">
        <v>51</v>
      </c>
      <c r="D55" s="29">
        <v>28.95</v>
      </c>
      <c r="E55" s="30">
        <v>993.56</v>
      </c>
      <c r="F55" s="10" t="s">
        <v>508</v>
      </c>
    </row>
    <row r="56" spans="1:6">
      <c r="A56" s="127" t="s">
        <v>7</v>
      </c>
      <c r="B56" s="125"/>
      <c r="C56" s="124"/>
      <c r="D56" s="26">
        <f>SUM(D55:D55)</f>
        <v>28.95</v>
      </c>
      <c r="E56" s="25">
        <f>SUM(E55:E55)</f>
        <v>993.56</v>
      </c>
      <c r="F56" s="10"/>
    </row>
    <row r="57" spans="1:6">
      <c r="A57" s="127"/>
      <c r="B57" s="124"/>
      <c r="C57" s="124"/>
      <c r="D57" s="26"/>
      <c r="E57" s="25"/>
      <c r="F57" s="10"/>
    </row>
    <row r="58" spans="1:6">
      <c r="A58" s="140" t="s">
        <v>203</v>
      </c>
      <c r="B58" s="141" t="s">
        <v>164</v>
      </c>
      <c r="C58" s="140" t="s">
        <v>60</v>
      </c>
      <c r="D58" s="29">
        <v>9.1999999999999993</v>
      </c>
      <c r="E58" s="30">
        <v>215.28</v>
      </c>
      <c r="F58" s="10" t="s">
        <v>508</v>
      </c>
    </row>
    <row r="59" spans="1:6">
      <c r="A59" s="140" t="s">
        <v>64</v>
      </c>
      <c r="B59" s="141" t="s">
        <v>164</v>
      </c>
      <c r="C59" s="140" t="s">
        <v>60</v>
      </c>
      <c r="D59" s="29">
        <v>9.35</v>
      </c>
      <c r="E59" s="30">
        <v>218.79</v>
      </c>
      <c r="F59" s="10" t="s">
        <v>508</v>
      </c>
    </row>
    <row r="60" spans="1:6">
      <c r="A60" s="127" t="s">
        <v>7</v>
      </c>
      <c r="B60" s="124"/>
      <c r="C60" s="124"/>
      <c r="D60" s="26">
        <f>SUM(D58:D59)</f>
        <v>18.549999999999997</v>
      </c>
      <c r="E60" s="25">
        <f>SUM(E58:E59)</f>
        <v>434.07</v>
      </c>
      <c r="F60" s="10"/>
    </row>
    <row r="61" spans="1:6">
      <c r="A61" s="127"/>
      <c r="B61" s="124"/>
      <c r="C61" s="124"/>
      <c r="D61" s="26"/>
      <c r="E61" s="25"/>
      <c r="F61" s="10"/>
    </row>
    <row r="62" spans="1:6">
      <c r="A62" s="124" t="s">
        <v>528</v>
      </c>
      <c r="B62" s="125" t="s">
        <v>165</v>
      </c>
      <c r="C62" s="124" t="s">
        <v>45</v>
      </c>
      <c r="D62" s="21">
        <v>0.18</v>
      </c>
      <c r="E62" s="22">
        <v>4.68</v>
      </c>
      <c r="F62" s="10"/>
    </row>
    <row r="63" spans="1:6">
      <c r="A63" s="124" t="s">
        <v>479</v>
      </c>
      <c r="B63" s="125" t="s">
        <v>165</v>
      </c>
      <c r="C63" s="124" t="s">
        <v>45</v>
      </c>
      <c r="D63" s="21">
        <v>0.83</v>
      </c>
      <c r="E63" s="22">
        <v>23.4</v>
      </c>
      <c r="F63" s="10"/>
    </row>
    <row r="64" spans="1:6">
      <c r="A64" s="140" t="s">
        <v>474</v>
      </c>
      <c r="B64" s="141" t="s">
        <v>165</v>
      </c>
      <c r="C64" s="140" t="s">
        <v>45</v>
      </c>
      <c r="D64" s="29">
        <v>12.53</v>
      </c>
      <c r="E64" s="30">
        <v>322.61</v>
      </c>
      <c r="F64" s="10" t="s">
        <v>508</v>
      </c>
    </row>
    <row r="65" spans="1:6">
      <c r="A65" s="127" t="s">
        <v>7</v>
      </c>
      <c r="B65" s="124"/>
      <c r="C65" s="124"/>
      <c r="D65" s="26">
        <f>SUM(D62:D64)</f>
        <v>13.54</v>
      </c>
      <c r="E65" s="25">
        <f>SUM(E62:E64)</f>
        <v>350.69</v>
      </c>
      <c r="F65" s="10"/>
    </row>
    <row r="66" spans="1:6">
      <c r="A66" s="127"/>
      <c r="B66" s="124"/>
      <c r="C66" s="124"/>
      <c r="D66" s="26"/>
      <c r="E66" s="25"/>
      <c r="F66" s="10"/>
    </row>
    <row r="67" spans="1:6">
      <c r="A67" s="140" t="s">
        <v>571</v>
      </c>
      <c r="B67" s="141" t="s">
        <v>167</v>
      </c>
      <c r="C67" s="140" t="s">
        <v>54</v>
      </c>
      <c r="D67" s="29">
        <v>5.73</v>
      </c>
      <c r="E67" s="30">
        <v>146.19999999999999</v>
      </c>
      <c r="F67" s="10" t="s">
        <v>508</v>
      </c>
    </row>
    <row r="68" spans="1:6">
      <c r="A68" s="140" t="s">
        <v>549</v>
      </c>
      <c r="B68" s="141" t="s">
        <v>167</v>
      </c>
      <c r="C68" s="140" t="s">
        <v>54</v>
      </c>
      <c r="D68" s="29">
        <v>14.43</v>
      </c>
      <c r="E68" s="30">
        <v>378.88</v>
      </c>
      <c r="F68" s="10" t="s">
        <v>508</v>
      </c>
    </row>
    <row r="69" spans="1:6">
      <c r="A69" s="140" t="s">
        <v>292</v>
      </c>
      <c r="B69" s="141" t="s">
        <v>167</v>
      </c>
      <c r="C69" s="140" t="s">
        <v>54</v>
      </c>
      <c r="D69" s="29">
        <v>20.329999999999998</v>
      </c>
      <c r="E69" s="30">
        <v>549.91999999999996</v>
      </c>
      <c r="F69" s="10" t="s">
        <v>508</v>
      </c>
    </row>
    <row r="70" spans="1:6">
      <c r="A70" s="124" t="s">
        <v>429</v>
      </c>
      <c r="B70" s="125" t="s">
        <v>167</v>
      </c>
      <c r="C70" s="124" t="s">
        <v>54</v>
      </c>
      <c r="D70" s="21">
        <v>1.45</v>
      </c>
      <c r="E70" s="22">
        <v>39.22</v>
      </c>
      <c r="F70" s="10"/>
    </row>
    <row r="71" spans="1:6">
      <c r="A71" s="140" t="s">
        <v>159</v>
      </c>
      <c r="B71" s="141" t="s">
        <v>167</v>
      </c>
      <c r="C71" s="140" t="s">
        <v>54</v>
      </c>
      <c r="D71" s="29">
        <v>12.55</v>
      </c>
      <c r="E71" s="30">
        <v>320.02999999999997</v>
      </c>
      <c r="F71" s="10" t="s">
        <v>508</v>
      </c>
    </row>
    <row r="72" spans="1:6">
      <c r="A72" s="140" t="s">
        <v>484</v>
      </c>
      <c r="B72" s="141" t="s">
        <v>167</v>
      </c>
      <c r="C72" s="140" t="s">
        <v>54</v>
      </c>
      <c r="D72" s="29">
        <v>21.53</v>
      </c>
      <c r="E72" s="30">
        <v>565.57000000000005</v>
      </c>
      <c r="F72" s="10" t="s">
        <v>508</v>
      </c>
    </row>
    <row r="73" spans="1:6">
      <c r="A73" s="124" t="s">
        <v>563</v>
      </c>
      <c r="B73" s="125" t="s">
        <v>167</v>
      </c>
      <c r="C73" s="124" t="s">
        <v>54</v>
      </c>
      <c r="D73" s="21">
        <v>0.17</v>
      </c>
      <c r="E73" s="22">
        <v>4.25</v>
      </c>
    </row>
    <row r="74" spans="1:6">
      <c r="A74" s="127" t="s">
        <v>7</v>
      </c>
      <c r="B74" s="125"/>
      <c r="C74" s="124"/>
      <c r="D74" s="26">
        <f>SUM(D67:D73)</f>
        <v>76.19</v>
      </c>
      <c r="E74" s="25">
        <f>SUM(E67:E73)</f>
        <v>2004.0700000000002</v>
      </c>
    </row>
    <row r="75" spans="1:6">
      <c r="A75" s="127"/>
      <c r="B75" s="125"/>
      <c r="C75" s="124"/>
      <c r="D75" s="26"/>
      <c r="E75" s="25"/>
    </row>
    <row r="76" spans="1:6">
      <c r="A76" s="124" t="s">
        <v>550</v>
      </c>
      <c r="B76" s="125" t="s">
        <v>240</v>
      </c>
      <c r="C76" s="124" t="s">
        <v>241</v>
      </c>
      <c r="D76" s="21">
        <v>3.27</v>
      </c>
      <c r="E76" s="22">
        <v>122.5</v>
      </c>
    </row>
    <row r="77" spans="1:6">
      <c r="A77" s="127" t="s">
        <v>7</v>
      </c>
      <c r="B77" s="125"/>
      <c r="C77" s="124"/>
      <c r="D77" s="26">
        <f>SUM(D76)</f>
        <v>3.27</v>
      </c>
      <c r="E77" s="25">
        <f>SUM(E76)</f>
        <v>122.5</v>
      </c>
    </row>
    <row r="78" spans="1:6">
      <c r="A78" s="127"/>
      <c r="B78" s="125"/>
      <c r="C78" s="124"/>
      <c r="D78" s="26"/>
      <c r="E78" s="25"/>
    </row>
    <row r="79" spans="1:6">
      <c r="A79" s="124" t="s">
        <v>459</v>
      </c>
      <c r="B79" s="125" t="s">
        <v>171</v>
      </c>
      <c r="C79" s="124" t="s">
        <v>25</v>
      </c>
      <c r="D79" s="21">
        <v>1.02</v>
      </c>
      <c r="E79" s="22">
        <v>32.99</v>
      </c>
    </row>
    <row r="80" spans="1:6">
      <c r="A80" s="124" t="s">
        <v>493</v>
      </c>
      <c r="B80" s="125" t="s">
        <v>171</v>
      </c>
      <c r="C80" s="124" t="s">
        <v>25</v>
      </c>
      <c r="D80" s="21">
        <v>0.2</v>
      </c>
      <c r="E80" s="22">
        <v>6.43</v>
      </c>
    </row>
    <row r="81" spans="1:6">
      <c r="A81" s="124" t="s">
        <v>512</v>
      </c>
      <c r="B81" s="125" t="s">
        <v>171</v>
      </c>
      <c r="C81" s="124" t="s">
        <v>25</v>
      </c>
      <c r="D81" s="21">
        <v>0.02</v>
      </c>
      <c r="E81" s="22">
        <v>0.54</v>
      </c>
    </row>
    <row r="82" spans="1:6">
      <c r="A82" s="124" t="s">
        <v>505</v>
      </c>
      <c r="B82" s="125" t="s">
        <v>171</v>
      </c>
      <c r="C82" s="124" t="s">
        <v>25</v>
      </c>
      <c r="D82" s="21">
        <v>1</v>
      </c>
      <c r="E82" s="22">
        <v>32.01</v>
      </c>
    </row>
    <row r="83" spans="1:6">
      <c r="A83" s="124" t="s">
        <v>500</v>
      </c>
      <c r="B83" s="125" t="s">
        <v>171</v>
      </c>
      <c r="C83" s="124" t="s">
        <v>25</v>
      </c>
      <c r="D83" s="21">
        <v>0.23</v>
      </c>
      <c r="E83" s="22">
        <v>7.14</v>
      </c>
    </row>
    <row r="84" spans="1:6">
      <c r="A84" s="124" t="s">
        <v>487</v>
      </c>
      <c r="B84" s="125" t="s">
        <v>171</v>
      </c>
      <c r="C84" s="124" t="s">
        <v>25</v>
      </c>
      <c r="D84" s="21">
        <v>0.05</v>
      </c>
      <c r="E84" s="22">
        <v>1.74</v>
      </c>
    </row>
    <row r="85" spans="1:6">
      <c r="A85" s="127" t="s">
        <v>7</v>
      </c>
      <c r="B85" s="124"/>
      <c r="C85" s="124"/>
      <c r="D85" s="26">
        <f>SUM(D79:D84)</f>
        <v>2.52</v>
      </c>
      <c r="E85" s="25">
        <f>SUM(E79:E84)</f>
        <v>80.849999999999994</v>
      </c>
    </row>
    <row r="86" spans="1:6">
      <c r="A86" s="127"/>
      <c r="B86" s="124"/>
      <c r="C86" s="124"/>
      <c r="D86" s="26"/>
      <c r="E86" s="25"/>
    </row>
    <row r="87" spans="1:6">
      <c r="A87" s="124" t="s">
        <v>572</v>
      </c>
      <c r="B87" s="125" t="s">
        <v>172</v>
      </c>
      <c r="C87" s="124" t="s">
        <v>12</v>
      </c>
      <c r="D87" s="21">
        <v>0.62</v>
      </c>
      <c r="E87" s="22">
        <v>19.43</v>
      </c>
    </row>
    <row r="88" spans="1:6">
      <c r="A88" s="124" t="s">
        <v>413</v>
      </c>
      <c r="B88" s="125" t="s">
        <v>172</v>
      </c>
      <c r="C88" s="124" t="s">
        <v>12</v>
      </c>
      <c r="D88" s="21">
        <v>0.73</v>
      </c>
      <c r="E88" s="22">
        <v>26.92</v>
      </c>
    </row>
    <row r="89" spans="1:6">
      <c r="A89" s="127" t="s">
        <v>7</v>
      </c>
      <c r="B89" s="124"/>
      <c r="C89" s="124"/>
      <c r="D89" s="26">
        <f>SUM(D87:D88)</f>
        <v>1.35</v>
      </c>
      <c r="E89" s="25">
        <f>SUM(E87:E88)</f>
        <v>46.35</v>
      </c>
    </row>
    <row r="90" spans="1:6">
      <c r="A90" s="127"/>
      <c r="B90" s="124"/>
      <c r="C90" s="124"/>
      <c r="D90" s="26"/>
      <c r="E90" s="25"/>
    </row>
    <row r="91" spans="1:6">
      <c r="A91" s="124" t="s">
        <v>37</v>
      </c>
      <c r="B91" s="124">
        <v>100051</v>
      </c>
      <c r="C91" s="124" t="s">
        <v>34</v>
      </c>
      <c r="D91" s="21">
        <v>1</v>
      </c>
      <c r="E91" s="22">
        <v>27</v>
      </c>
    </row>
    <row r="92" spans="1:6">
      <c r="A92" s="124" t="s">
        <v>213</v>
      </c>
      <c r="B92" s="124">
        <v>100051</v>
      </c>
      <c r="C92" s="124" t="s">
        <v>34</v>
      </c>
      <c r="D92" s="21">
        <v>1</v>
      </c>
      <c r="E92" s="22">
        <v>25.5</v>
      </c>
    </row>
    <row r="93" spans="1:6">
      <c r="A93" s="140" t="s">
        <v>41</v>
      </c>
      <c r="B93" s="140">
        <v>100051</v>
      </c>
      <c r="C93" s="140" t="s">
        <v>34</v>
      </c>
      <c r="D93" s="29">
        <v>9.32</v>
      </c>
      <c r="E93" s="30">
        <v>261.61</v>
      </c>
      <c r="F93" s="10" t="s">
        <v>508</v>
      </c>
    </row>
    <row r="94" spans="1:6">
      <c r="A94" s="127" t="s">
        <v>7</v>
      </c>
      <c r="B94" s="124"/>
      <c r="C94" s="124"/>
      <c r="D94" s="26">
        <f>SUM(D91:D93)</f>
        <v>11.32</v>
      </c>
      <c r="E94" s="25">
        <f>SUM(E91:E93)</f>
        <v>314.11</v>
      </c>
    </row>
    <row r="95" spans="1:6">
      <c r="A95" s="127"/>
      <c r="B95" s="124"/>
      <c r="C95" s="124"/>
      <c r="D95" s="26"/>
      <c r="E95" s="25"/>
    </row>
    <row r="96" spans="1:6">
      <c r="A96" s="140" t="s">
        <v>215</v>
      </c>
      <c r="B96" s="140">
        <v>290051</v>
      </c>
      <c r="C96" s="140" t="s">
        <v>396</v>
      </c>
      <c r="D96" s="29">
        <v>4.5</v>
      </c>
      <c r="E96" s="30">
        <v>99.83</v>
      </c>
      <c r="F96" s="10" t="s">
        <v>508</v>
      </c>
    </row>
    <row r="97" spans="1:6">
      <c r="A97" s="140" t="s">
        <v>144</v>
      </c>
      <c r="B97" s="140">
        <v>290051</v>
      </c>
      <c r="C97" s="140" t="s">
        <v>396</v>
      </c>
      <c r="D97" s="29">
        <v>4.5</v>
      </c>
      <c r="E97" s="30">
        <v>108.47</v>
      </c>
      <c r="F97" s="10" t="s">
        <v>508</v>
      </c>
    </row>
    <row r="98" spans="1:6">
      <c r="A98" s="127" t="s">
        <v>7</v>
      </c>
      <c r="B98" s="124"/>
      <c r="C98" s="124"/>
      <c r="D98" s="26">
        <f>SUM(D96:D97)</f>
        <v>9</v>
      </c>
      <c r="E98" s="25">
        <f>SUM(E96:E97)</f>
        <v>208.3</v>
      </c>
    </row>
    <row r="99" spans="1:6">
      <c r="A99" s="127"/>
      <c r="B99" s="124"/>
      <c r="C99" s="124"/>
      <c r="D99" s="26"/>
      <c r="E99" s="25"/>
    </row>
    <row r="100" spans="1:6">
      <c r="A100" s="124" t="s">
        <v>369</v>
      </c>
      <c r="B100" s="124">
        <v>450044</v>
      </c>
      <c r="C100" s="124" t="s">
        <v>519</v>
      </c>
      <c r="D100" s="21">
        <v>0.08</v>
      </c>
      <c r="E100" s="22">
        <v>2.25</v>
      </c>
    </row>
    <row r="101" spans="1:6">
      <c r="A101" s="127" t="s">
        <v>7</v>
      </c>
      <c r="B101" s="124"/>
      <c r="C101" s="124"/>
      <c r="D101" s="26">
        <f>SUM(D100)</f>
        <v>0.08</v>
      </c>
      <c r="E101" s="25">
        <f>SUM(E100)</f>
        <v>2.25</v>
      </c>
    </row>
    <row r="102" spans="1:6">
      <c r="A102" s="127"/>
      <c r="B102" s="124"/>
      <c r="C102" s="124"/>
      <c r="D102" s="26"/>
      <c r="E102" s="25"/>
    </row>
    <row r="103" spans="1:6">
      <c r="A103" s="144" t="s">
        <v>475</v>
      </c>
      <c r="B103" s="144" t="s">
        <v>476</v>
      </c>
      <c r="C103" s="144" t="s">
        <v>477</v>
      </c>
      <c r="D103" s="49">
        <v>5.63</v>
      </c>
      <c r="E103" s="50">
        <v>209.22</v>
      </c>
      <c r="F103" s="144" t="s">
        <v>508</v>
      </c>
    </row>
    <row r="104" spans="1:6">
      <c r="A104" s="127" t="s">
        <v>7</v>
      </c>
      <c r="B104" s="124"/>
      <c r="C104" s="124"/>
      <c r="D104" s="26">
        <f>SUM(D103)</f>
        <v>5.63</v>
      </c>
      <c r="E104" s="25">
        <f>SUM(E103)</f>
        <v>209.22</v>
      </c>
    </row>
    <row r="105" spans="1:6">
      <c r="A105" s="127"/>
      <c r="B105" s="124"/>
      <c r="C105" s="124"/>
      <c r="D105" s="26"/>
      <c r="E105" s="25"/>
    </row>
    <row r="106" spans="1:6">
      <c r="A106" s="124" t="s">
        <v>573</v>
      </c>
      <c r="B106" s="124" t="s">
        <v>574</v>
      </c>
      <c r="C106" s="124" t="s">
        <v>575</v>
      </c>
      <c r="D106" s="21">
        <v>2.2999999999999998</v>
      </c>
      <c r="E106" s="22">
        <v>65.27</v>
      </c>
    </row>
    <row r="107" spans="1:6">
      <c r="A107" s="124" t="s">
        <v>576</v>
      </c>
      <c r="B107" s="124" t="s">
        <v>574</v>
      </c>
      <c r="C107" s="124" t="s">
        <v>575</v>
      </c>
      <c r="D107" s="21">
        <v>0.37</v>
      </c>
      <c r="E107" s="22">
        <v>10.71</v>
      </c>
    </row>
    <row r="108" spans="1:6">
      <c r="A108" s="127" t="s">
        <v>7</v>
      </c>
      <c r="B108" s="127"/>
      <c r="C108" s="127"/>
      <c r="D108" s="26">
        <f>SUM(D106:D107)</f>
        <v>2.67</v>
      </c>
      <c r="E108" s="25">
        <f>SUM(E106:E107)</f>
        <v>75.97999999999999</v>
      </c>
    </row>
    <row r="109" spans="1:6">
      <c r="A109" s="127"/>
      <c r="B109" s="124"/>
      <c r="C109" s="124"/>
      <c r="D109" s="26"/>
      <c r="E109" s="25"/>
    </row>
    <row r="110" spans="1:6">
      <c r="A110" s="122" t="s">
        <v>194</v>
      </c>
      <c r="D110" s="26">
        <f>D108+D104+D101+D94+D98+D89+D85+D77+D74+D65+D60+D56+D53+D24+D21+D18+D11</f>
        <v>456.55</v>
      </c>
      <c r="E110" s="25">
        <f>E108+E104+E101+E94+E98+E89+E85+E77+E74+E65+E60+E56+E53+E24+E21+E18+E11</f>
        <v>12627.840000000002</v>
      </c>
    </row>
    <row r="111" spans="1:6">
      <c r="A111" s="127"/>
      <c r="B111" s="124"/>
      <c r="C111" s="124"/>
      <c r="D111" s="26"/>
      <c r="E111" s="25"/>
    </row>
    <row r="112" spans="1:6">
      <c r="A112" s="124"/>
      <c r="B112" s="124"/>
      <c r="C112" s="124"/>
      <c r="D112" s="21"/>
      <c r="E112" s="22"/>
    </row>
    <row r="113" spans="1:5">
      <c r="A113" s="124"/>
      <c r="B113" s="124"/>
      <c r="C113" s="124"/>
      <c r="D113" s="21"/>
      <c r="E113" s="22"/>
    </row>
    <row r="114" spans="1:5">
      <c r="A114" s="127"/>
      <c r="B114" s="124"/>
      <c r="C114" s="124"/>
      <c r="D114" s="26"/>
      <c r="E114" s="25"/>
    </row>
    <row r="115" spans="1:5">
      <c r="A115" s="127"/>
      <c r="B115" s="124"/>
      <c r="C115" s="124"/>
      <c r="D115" s="26"/>
      <c r="E115" s="25"/>
    </row>
    <row r="116" spans="1:5">
      <c r="A116" s="124"/>
      <c r="B116" s="124"/>
      <c r="C116" s="124"/>
      <c r="D116" s="21"/>
      <c r="E116" s="22"/>
    </row>
    <row r="117" spans="1:5">
      <c r="A117" s="127"/>
      <c r="B117" s="124"/>
      <c r="C117" s="124"/>
      <c r="D117" s="26"/>
      <c r="E117" s="25"/>
    </row>
    <row r="118" spans="1:5">
      <c r="A118" s="127"/>
      <c r="B118" s="124"/>
      <c r="C118" s="124"/>
      <c r="D118" s="26"/>
      <c r="E118" s="25"/>
    </row>
    <row r="119" spans="1:5">
      <c r="A119" s="124"/>
      <c r="B119" s="124"/>
      <c r="C119" s="124"/>
      <c r="D119" s="21"/>
      <c r="E119" s="22"/>
    </row>
    <row r="120" spans="1:5">
      <c r="A120" s="127"/>
      <c r="B120" s="124"/>
      <c r="C120" s="124"/>
      <c r="D120" s="26"/>
      <c r="E120" s="25"/>
    </row>
    <row r="121" spans="1:5">
      <c r="A121" s="127"/>
      <c r="B121" s="124"/>
      <c r="C121" s="124"/>
      <c r="D121" s="26"/>
      <c r="E121" s="25"/>
    </row>
    <row r="122" spans="1:5">
      <c r="A122" s="124"/>
      <c r="B122" s="124"/>
      <c r="C122" s="124"/>
      <c r="D122" s="21"/>
      <c r="E122" s="22"/>
    </row>
    <row r="123" spans="1:5">
      <c r="A123" s="124"/>
      <c r="B123" s="124"/>
      <c r="C123" s="124"/>
      <c r="D123" s="21"/>
      <c r="E123" s="22"/>
    </row>
    <row r="124" spans="1:5">
      <c r="A124" s="127"/>
      <c r="B124" s="124"/>
      <c r="C124" s="124"/>
      <c r="D124" s="26"/>
      <c r="E124" s="25"/>
    </row>
    <row r="125" spans="1:5">
      <c r="A125" s="127"/>
      <c r="B125" s="124"/>
      <c r="C125" s="124"/>
      <c r="D125" s="21"/>
      <c r="E125" s="22"/>
    </row>
    <row r="126" spans="1:5">
      <c r="A126" s="122"/>
      <c r="D126" s="26"/>
      <c r="E126" s="26"/>
    </row>
    <row r="127" spans="1:5">
      <c r="D127" s="26"/>
      <c r="E127" s="2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30"/>
  <sheetViews>
    <sheetView workbookViewId="0">
      <pane ySplit="1" topLeftCell="A118" activePane="bottomLeft" state="frozenSplit"/>
      <selection pane="bottomLeft" activeCell="E120" sqref="E120"/>
    </sheetView>
  </sheetViews>
  <sheetFormatPr defaultRowHeight="12.75"/>
  <cols>
    <col min="1" max="1" width="31.7109375" customWidth="1"/>
    <col min="2" max="2" width="22.7109375" customWidth="1"/>
    <col min="3" max="3" width="36.7109375" customWidth="1"/>
    <col min="4" max="4" width="22.7109375" customWidth="1"/>
    <col min="5" max="5" width="25.7109375" customWidth="1"/>
  </cols>
  <sheetData>
    <row r="1" spans="1:5">
      <c r="A1" s="1" t="s">
        <v>147</v>
      </c>
      <c r="B1" s="1" t="s">
        <v>148</v>
      </c>
      <c r="C1" s="1" t="s">
        <v>149</v>
      </c>
      <c r="D1" s="1" t="s">
        <v>150</v>
      </c>
      <c r="E1" s="1" t="s">
        <v>151</v>
      </c>
    </row>
    <row r="2" spans="1:5">
      <c r="A2" s="6" t="s">
        <v>20</v>
      </c>
      <c r="B2" s="6" t="s">
        <v>152</v>
      </c>
      <c r="C2" s="6" t="s">
        <v>15</v>
      </c>
      <c r="D2" s="7">
        <v>1.35</v>
      </c>
      <c r="E2" s="8">
        <v>34.43</v>
      </c>
    </row>
    <row r="3" spans="1:5">
      <c r="A3" s="6" t="s">
        <v>18</v>
      </c>
      <c r="B3" s="6" t="s">
        <v>152</v>
      </c>
      <c r="C3" s="6" t="s">
        <v>15</v>
      </c>
      <c r="D3" s="7">
        <v>2.57</v>
      </c>
      <c r="E3" s="8">
        <v>71.459999999999994</v>
      </c>
    </row>
    <row r="4" spans="1:5">
      <c r="A4" s="2" t="s">
        <v>19</v>
      </c>
      <c r="B4" s="3" t="s">
        <v>152</v>
      </c>
      <c r="C4" s="2" t="s">
        <v>15</v>
      </c>
      <c r="D4" s="7">
        <v>5.07</v>
      </c>
      <c r="E4" s="8">
        <v>151.24</v>
      </c>
    </row>
    <row r="5" spans="1:5">
      <c r="A5" s="6" t="s">
        <v>17</v>
      </c>
      <c r="B5" s="6" t="s">
        <v>152</v>
      </c>
      <c r="C5" s="6" t="s">
        <v>15</v>
      </c>
      <c r="D5" s="7">
        <v>0.82</v>
      </c>
      <c r="E5" s="8">
        <v>18.989999999999998</v>
      </c>
    </row>
    <row r="6" spans="1:5">
      <c r="A6" s="6" t="s">
        <v>21</v>
      </c>
      <c r="B6" s="6" t="s">
        <v>152</v>
      </c>
      <c r="C6" s="6" t="s">
        <v>15</v>
      </c>
      <c r="D6" s="7">
        <v>0.33</v>
      </c>
      <c r="E6" s="8">
        <v>10.41</v>
      </c>
    </row>
    <row r="7" spans="1:5">
      <c r="A7" s="6" t="s">
        <v>16</v>
      </c>
      <c r="B7" s="210" t="s">
        <v>152</v>
      </c>
      <c r="C7" s="6" t="s">
        <v>15</v>
      </c>
      <c r="D7" s="7">
        <v>1.3</v>
      </c>
      <c r="E7" s="8">
        <v>32.64</v>
      </c>
    </row>
    <row r="8" spans="1:5">
      <c r="A8" s="204" t="s">
        <v>7</v>
      </c>
      <c r="B8" s="6"/>
      <c r="C8" s="6"/>
      <c r="D8" s="205">
        <f>SUM(D2:D7)</f>
        <v>11.440000000000001</v>
      </c>
      <c r="E8" s="206">
        <f>SUM(E2:E7)</f>
        <v>319.17</v>
      </c>
    </row>
    <row r="9" spans="1:5">
      <c r="A9" s="6"/>
      <c r="B9" s="6"/>
      <c r="C9" s="6"/>
      <c r="D9" s="7"/>
      <c r="E9" s="8"/>
    </row>
    <row r="10" spans="1:5">
      <c r="A10" s="2" t="s">
        <v>28</v>
      </c>
      <c r="B10" s="3" t="s">
        <v>217</v>
      </c>
      <c r="C10" s="2" t="s">
        <v>218</v>
      </c>
      <c r="D10" s="7">
        <v>0.43</v>
      </c>
      <c r="E10" s="8">
        <v>10.4</v>
      </c>
    </row>
    <row r="11" spans="1:5">
      <c r="A11" s="204" t="s">
        <v>7</v>
      </c>
      <c r="B11" s="6"/>
      <c r="C11" s="6"/>
      <c r="D11" s="207">
        <v>0.43</v>
      </c>
      <c r="E11" s="206">
        <v>10.4</v>
      </c>
    </row>
    <row r="12" spans="1:5">
      <c r="A12" s="6"/>
      <c r="B12" s="6"/>
      <c r="C12" s="6"/>
      <c r="D12" s="7"/>
      <c r="E12" s="8"/>
    </row>
    <row r="13" spans="1:5">
      <c r="A13" s="2" t="s">
        <v>209</v>
      </c>
      <c r="B13" s="3" t="s">
        <v>154</v>
      </c>
      <c r="C13" s="2" t="s">
        <v>23</v>
      </c>
      <c r="D13" s="7">
        <v>0.57999999999999996</v>
      </c>
      <c r="E13" s="8">
        <v>15.99</v>
      </c>
    </row>
    <row r="14" spans="1:5">
      <c r="A14" s="204" t="s">
        <v>7</v>
      </c>
      <c r="B14" s="6"/>
      <c r="C14" s="6"/>
      <c r="D14" s="207">
        <f>SUM(D13:D13)</f>
        <v>0.57999999999999996</v>
      </c>
      <c r="E14" s="206">
        <f>SUM(E13:E13)</f>
        <v>15.99</v>
      </c>
    </row>
    <row r="15" spans="1:5">
      <c r="A15" s="6"/>
      <c r="B15" s="6"/>
      <c r="C15" s="6"/>
      <c r="D15" s="7"/>
      <c r="E15" s="8"/>
    </row>
    <row r="16" spans="1:5">
      <c r="A16" s="6" t="s">
        <v>30</v>
      </c>
      <c r="B16" s="6" t="s">
        <v>155</v>
      </c>
      <c r="C16" s="6" t="s">
        <v>31</v>
      </c>
      <c r="D16" s="7">
        <v>0.55000000000000004</v>
      </c>
      <c r="E16" s="8">
        <v>14.03</v>
      </c>
    </row>
    <row r="17" spans="1:5">
      <c r="A17" s="6" t="s">
        <v>195</v>
      </c>
      <c r="B17" s="210" t="s">
        <v>155</v>
      </c>
      <c r="C17" s="6" t="s">
        <v>196</v>
      </c>
      <c r="D17" s="7">
        <v>1.68</v>
      </c>
      <c r="E17" s="8">
        <v>50.5</v>
      </c>
    </row>
    <row r="18" spans="1:5">
      <c r="A18" s="204" t="s">
        <v>7</v>
      </c>
      <c r="B18" s="6"/>
      <c r="C18" s="6"/>
      <c r="D18" s="207">
        <f>SUM(D16:D17)</f>
        <v>2.23</v>
      </c>
      <c r="E18" s="206">
        <f>SUM(E16:E17)</f>
        <v>64.53</v>
      </c>
    </row>
    <row r="19" spans="1:5">
      <c r="A19" s="204"/>
      <c r="B19" s="6"/>
      <c r="C19" s="6"/>
      <c r="D19" s="207"/>
      <c r="E19" s="206"/>
    </row>
    <row r="20" spans="1:5">
      <c r="A20" s="6" t="s">
        <v>49</v>
      </c>
      <c r="B20" s="210" t="s">
        <v>198</v>
      </c>
      <c r="C20" s="6" t="s">
        <v>199</v>
      </c>
      <c r="D20" s="7">
        <v>16.88</v>
      </c>
      <c r="E20" s="8">
        <v>354.55</v>
      </c>
    </row>
    <row r="21" spans="1:5">
      <c r="A21" s="6" t="s">
        <v>219</v>
      </c>
      <c r="B21" s="210" t="s">
        <v>198</v>
      </c>
      <c r="C21" s="6" t="s">
        <v>199</v>
      </c>
      <c r="D21" s="7">
        <v>6.5</v>
      </c>
      <c r="E21" s="8">
        <v>218.01</v>
      </c>
    </row>
    <row r="22" spans="1:5">
      <c r="A22" s="6" t="s">
        <v>38</v>
      </c>
      <c r="B22" s="210" t="s">
        <v>198</v>
      </c>
      <c r="C22" s="6" t="s">
        <v>199</v>
      </c>
      <c r="D22" s="7">
        <v>25.7</v>
      </c>
      <c r="E22" s="8">
        <v>597.53</v>
      </c>
    </row>
    <row r="23" spans="1:5">
      <c r="A23" s="204" t="s">
        <v>7</v>
      </c>
      <c r="B23" s="6"/>
      <c r="C23" s="6"/>
      <c r="D23" s="207">
        <f>SUM(D20:D22)</f>
        <v>49.08</v>
      </c>
      <c r="E23" s="206">
        <f>SUM(E20:E22)</f>
        <v>1170.0899999999999</v>
      </c>
    </row>
    <row r="24" spans="1:5">
      <c r="A24" s="6"/>
      <c r="B24" s="6"/>
      <c r="C24" s="6"/>
      <c r="D24" s="7"/>
      <c r="E24" s="8"/>
    </row>
    <row r="25" spans="1:5">
      <c r="A25" s="6" t="s">
        <v>14</v>
      </c>
      <c r="B25" s="6" t="s">
        <v>156</v>
      </c>
      <c r="C25" s="6" t="s">
        <v>91</v>
      </c>
      <c r="D25" s="7">
        <v>14.05</v>
      </c>
      <c r="E25" s="8">
        <v>358.28</v>
      </c>
    </row>
    <row r="26" spans="1:5">
      <c r="A26" s="6" t="s">
        <v>94</v>
      </c>
      <c r="B26" s="6" t="s">
        <v>156</v>
      </c>
      <c r="C26" s="6" t="s">
        <v>91</v>
      </c>
      <c r="D26" s="7">
        <v>3.67</v>
      </c>
      <c r="E26" s="8">
        <v>96.25</v>
      </c>
    </row>
    <row r="27" spans="1:5">
      <c r="A27" s="6" t="s">
        <v>92</v>
      </c>
      <c r="B27" s="6" t="s">
        <v>156</v>
      </c>
      <c r="C27" s="6" t="s">
        <v>91</v>
      </c>
      <c r="D27" s="7">
        <v>4.62</v>
      </c>
      <c r="E27" s="8">
        <v>118.63</v>
      </c>
    </row>
    <row r="28" spans="1:5">
      <c r="A28" s="204" t="s">
        <v>7</v>
      </c>
      <c r="B28" s="6"/>
      <c r="C28" s="6"/>
      <c r="D28" s="207">
        <f>SUM(D25:D27)</f>
        <v>22.34</v>
      </c>
      <c r="E28" s="206">
        <f>SUM(E25:E27)</f>
        <v>573.16</v>
      </c>
    </row>
    <row r="29" spans="1:5">
      <c r="A29" s="6"/>
      <c r="B29" s="6"/>
      <c r="C29" s="6"/>
      <c r="D29" s="7"/>
      <c r="E29" s="8"/>
    </row>
    <row r="30" spans="1:5">
      <c r="A30" s="6" t="s">
        <v>83</v>
      </c>
      <c r="B30" s="6" t="s">
        <v>157</v>
      </c>
      <c r="C30" s="6" t="s">
        <v>66</v>
      </c>
      <c r="D30" s="7">
        <v>11.87</v>
      </c>
      <c r="E30" s="8">
        <v>222.5</v>
      </c>
    </row>
    <row r="31" spans="1:5">
      <c r="A31" s="2" t="s">
        <v>228</v>
      </c>
      <c r="B31" s="3" t="s">
        <v>157</v>
      </c>
      <c r="C31" s="2" t="s">
        <v>66</v>
      </c>
      <c r="D31" s="7">
        <v>12.82</v>
      </c>
      <c r="E31" s="8">
        <v>240.31</v>
      </c>
    </row>
    <row r="32" spans="1:5">
      <c r="A32" s="6" t="s">
        <v>75</v>
      </c>
      <c r="B32" s="6" t="s">
        <v>157</v>
      </c>
      <c r="C32" s="6" t="s">
        <v>66</v>
      </c>
      <c r="D32" s="7">
        <v>5.87</v>
      </c>
      <c r="E32" s="8">
        <v>105.6</v>
      </c>
    </row>
    <row r="33" spans="1:5">
      <c r="A33" s="2" t="s">
        <v>210</v>
      </c>
      <c r="B33" s="3" t="s">
        <v>157</v>
      </c>
      <c r="C33" s="2" t="s">
        <v>66</v>
      </c>
      <c r="D33" s="7">
        <v>25.03</v>
      </c>
      <c r="E33" s="8">
        <v>450.6</v>
      </c>
    </row>
    <row r="34" spans="1:5">
      <c r="A34" s="6" t="s">
        <v>74</v>
      </c>
      <c r="B34" s="6" t="s">
        <v>157</v>
      </c>
      <c r="C34" s="6" t="s">
        <v>66</v>
      </c>
      <c r="D34" s="7">
        <v>15.05</v>
      </c>
      <c r="E34" s="8">
        <v>293.48</v>
      </c>
    </row>
    <row r="35" spans="1:5">
      <c r="A35" s="6" t="s">
        <v>87</v>
      </c>
      <c r="B35" s="6" t="s">
        <v>157</v>
      </c>
      <c r="C35" s="6" t="s">
        <v>66</v>
      </c>
      <c r="D35" s="7">
        <v>4.5999999999999996</v>
      </c>
      <c r="E35" s="8">
        <v>103.5</v>
      </c>
    </row>
    <row r="36" spans="1:5">
      <c r="A36" s="6" t="s">
        <v>89</v>
      </c>
      <c r="B36" s="6" t="s">
        <v>157</v>
      </c>
      <c r="C36" s="6" t="s">
        <v>66</v>
      </c>
      <c r="D36" s="7">
        <v>11.75</v>
      </c>
      <c r="E36" s="8">
        <v>202.69</v>
      </c>
    </row>
    <row r="37" spans="1:5">
      <c r="A37" s="6" t="s">
        <v>86</v>
      </c>
      <c r="B37" s="6" t="s">
        <v>157</v>
      </c>
      <c r="C37" s="6" t="s">
        <v>66</v>
      </c>
      <c r="D37" s="7">
        <v>7.4</v>
      </c>
      <c r="E37" s="8">
        <v>144.30000000000001</v>
      </c>
    </row>
    <row r="38" spans="1:5">
      <c r="A38" s="6" t="s">
        <v>84</v>
      </c>
      <c r="B38" s="6" t="s">
        <v>157</v>
      </c>
      <c r="C38" s="6" t="s">
        <v>66</v>
      </c>
      <c r="D38" s="7">
        <v>17.52</v>
      </c>
      <c r="E38" s="8">
        <v>315.3</v>
      </c>
    </row>
    <row r="39" spans="1:5">
      <c r="A39" s="6" t="s">
        <v>201</v>
      </c>
      <c r="B39" s="210" t="s">
        <v>157</v>
      </c>
      <c r="C39" s="6" t="s">
        <v>66</v>
      </c>
      <c r="D39" s="7">
        <v>5.12</v>
      </c>
      <c r="E39" s="8">
        <v>92.1</v>
      </c>
    </row>
    <row r="40" spans="1:5">
      <c r="A40" s="6" t="s">
        <v>85</v>
      </c>
      <c r="B40" s="6" t="s">
        <v>157</v>
      </c>
      <c r="C40" s="6" t="s">
        <v>66</v>
      </c>
      <c r="D40" s="7">
        <v>19.18</v>
      </c>
      <c r="E40" s="8">
        <v>445.44</v>
      </c>
    </row>
    <row r="41" spans="1:5">
      <c r="A41" s="6" t="s">
        <v>159</v>
      </c>
      <c r="B41" s="6" t="s">
        <v>157</v>
      </c>
      <c r="C41" s="6" t="s">
        <v>66</v>
      </c>
      <c r="D41" s="7">
        <v>10.57</v>
      </c>
      <c r="E41" s="8">
        <v>206.05</v>
      </c>
    </row>
    <row r="42" spans="1:5">
      <c r="A42" s="6" t="s">
        <v>88</v>
      </c>
      <c r="B42" s="6" t="s">
        <v>157</v>
      </c>
      <c r="C42" s="6" t="s">
        <v>66</v>
      </c>
      <c r="D42" s="7">
        <v>31.13</v>
      </c>
      <c r="E42" s="8">
        <v>560.4</v>
      </c>
    </row>
    <row r="43" spans="1:5">
      <c r="A43" s="6" t="s">
        <v>35</v>
      </c>
      <c r="B43" s="6" t="s">
        <v>157</v>
      </c>
      <c r="C43" s="6" t="s">
        <v>66</v>
      </c>
      <c r="D43" s="7">
        <v>30.23</v>
      </c>
      <c r="E43" s="8">
        <v>664.83</v>
      </c>
    </row>
    <row r="44" spans="1:5">
      <c r="A44" s="6" t="s">
        <v>79</v>
      </c>
      <c r="B44" s="6" t="s">
        <v>157</v>
      </c>
      <c r="C44" s="6" t="s">
        <v>66</v>
      </c>
      <c r="D44" s="7">
        <v>6.08</v>
      </c>
      <c r="E44" s="8">
        <v>141.44</v>
      </c>
    </row>
    <row r="45" spans="1:5">
      <c r="A45" s="6" t="s">
        <v>202</v>
      </c>
      <c r="B45" s="210" t="s">
        <v>157</v>
      </c>
      <c r="C45" s="6" t="s">
        <v>66</v>
      </c>
      <c r="D45" s="7">
        <v>19.57</v>
      </c>
      <c r="E45" s="8">
        <v>381.55</v>
      </c>
    </row>
    <row r="46" spans="1:5">
      <c r="A46" s="6" t="s">
        <v>160</v>
      </c>
      <c r="B46" s="6" t="s">
        <v>157</v>
      </c>
      <c r="C46" s="6" t="s">
        <v>66</v>
      </c>
      <c r="D46" s="7">
        <v>7.2</v>
      </c>
      <c r="E46" s="8">
        <v>151.19999999999999</v>
      </c>
    </row>
    <row r="47" spans="1:5">
      <c r="A47" s="6" t="s">
        <v>161</v>
      </c>
      <c r="B47" s="6" t="s">
        <v>157</v>
      </c>
      <c r="C47" s="6" t="s">
        <v>66</v>
      </c>
      <c r="D47" s="7">
        <v>3.37</v>
      </c>
      <c r="E47" s="8">
        <v>65.650000000000006</v>
      </c>
    </row>
    <row r="48" spans="1:5">
      <c r="A48" s="204" t="s">
        <v>7</v>
      </c>
      <c r="B48" s="6"/>
      <c r="C48" s="6"/>
      <c r="D48" s="207">
        <f>SUM(D30:D47)</f>
        <v>244.35999999999999</v>
      </c>
      <c r="E48" s="206">
        <f>SUM(E30:E47)</f>
        <v>4786.9399999999996</v>
      </c>
    </row>
    <row r="49" spans="1:5">
      <c r="A49" s="6"/>
      <c r="B49" s="6"/>
      <c r="C49" s="6"/>
      <c r="D49" s="7"/>
      <c r="E49" s="8"/>
    </row>
    <row r="50" spans="1:5">
      <c r="A50" s="6" t="s">
        <v>163</v>
      </c>
      <c r="B50" s="6" t="s">
        <v>162</v>
      </c>
      <c r="C50" s="6" t="s">
        <v>51</v>
      </c>
      <c r="D50" s="7">
        <v>31.53</v>
      </c>
      <c r="E50" s="8">
        <v>756.8</v>
      </c>
    </row>
    <row r="51" spans="1:5">
      <c r="A51" s="204" t="s">
        <v>7</v>
      </c>
      <c r="B51" s="6"/>
      <c r="C51" s="6"/>
      <c r="D51" s="207">
        <f>SUM(D50:D50)</f>
        <v>31.53</v>
      </c>
      <c r="E51" s="206">
        <f>SUM(E50:E50)</f>
        <v>756.8</v>
      </c>
    </row>
    <row r="52" spans="1:5">
      <c r="A52" s="6"/>
      <c r="B52" s="6"/>
      <c r="C52" s="6"/>
      <c r="D52" s="7"/>
      <c r="E52" s="8"/>
    </row>
    <row r="53" spans="1:5">
      <c r="A53" s="2" t="s">
        <v>203</v>
      </c>
      <c r="B53" s="3" t="s">
        <v>164</v>
      </c>
      <c r="C53" s="2" t="s">
        <v>60</v>
      </c>
      <c r="D53" s="7">
        <v>18.37</v>
      </c>
      <c r="E53" s="8">
        <v>344.38</v>
      </c>
    </row>
    <row r="54" spans="1:5">
      <c r="A54" s="6" t="s">
        <v>63</v>
      </c>
      <c r="B54" s="6" t="s">
        <v>164</v>
      </c>
      <c r="C54" s="6" t="s">
        <v>60</v>
      </c>
      <c r="D54" s="7">
        <v>14.08</v>
      </c>
      <c r="E54" s="8">
        <v>242.94</v>
      </c>
    </row>
    <row r="55" spans="1:5">
      <c r="A55" s="6" t="s">
        <v>64</v>
      </c>
      <c r="B55" s="6" t="s">
        <v>164</v>
      </c>
      <c r="C55" s="6" t="s">
        <v>60</v>
      </c>
      <c r="D55" s="7">
        <v>4.57</v>
      </c>
      <c r="E55" s="8">
        <v>75.349999999999994</v>
      </c>
    </row>
    <row r="56" spans="1:5">
      <c r="A56" s="204" t="s">
        <v>7</v>
      </c>
      <c r="B56" s="6"/>
      <c r="C56" s="6"/>
      <c r="D56" s="207">
        <f>SUM(D53:D55)</f>
        <v>37.020000000000003</v>
      </c>
      <c r="E56" s="206">
        <f>SUM(E53:E55)</f>
        <v>662.67</v>
      </c>
    </row>
    <row r="57" spans="1:5">
      <c r="A57" s="204"/>
      <c r="B57" s="6"/>
      <c r="C57" s="6"/>
      <c r="D57" s="207"/>
      <c r="E57" s="206"/>
    </row>
    <row r="58" spans="1:5">
      <c r="A58" s="6" t="s">
        <v>221</v>
      </c>
      <c r="B58" s="210" t="s">
        <v>165</v>
      </c>
      <c r="C58" s="6" t="s">
        <v>45</v>
      </c>
      <c r="D58" s="7">
        <v>22.62</v>
      </c>
      <c r="E58" s="8">
        <v>424.06</v>
      </c>
    </row>
    <row r="59" spans="1:5">
      <c r="A59" s="204" t="s">
        <v>7</v>
      </c>
      <c r="B59" s="6"/>
      <c r="C59" s="6"/>
      <c r="D59" s="207">
        <v>22.62</v>
      </c>
      <c r="E59" s="206">
        <v>424.06</v>
      </c>
    </row>
    <row r="60" spans="1:5">
      <c r="A60" s="2"/>
      <c r="B60" s="3"/>
      <c r="C60" s="2"/>
      <c r="D60" s="7"/>
      <c r="E60" s="8"/>
    </row>
    <row r="61" spans="1:5">
      <c r="A61" s="6" t="s">
        <v>166</v>
      </c>
      <c r="B61" s="6" t="s">
        <v>167</v>
      </c>
      <c r="C61" s="6" t="s">
        <v>54</v>
      </c>
      <c r="D61" s="7">
        <v>4.17</v>
      </c>
      <c r="E61" s="8">
        <v>93.75</v>
      </c>
    </row>
    <row r="62" spans="1:5">
      <c r="A62" s="6" t="s">
        <v>55</v>
      </c>
      <c r="B62" s="6" t="s">
        <v>167</v>
      </c>
      <c r="C62" s="6" t="s">
        <v>54</v>
      </c>
      <c r="D62" s="7">
        <v>2.5</v>
      </c>
      <c r="E62" s="8">
        <v>54.38</v>
      </c>
    </row>
    <row r="63" spans="1:5">
      <c r="A63" s="6" t="s">
        <v>58</v>
      </c>
      <c r="B63" s="6" t="s">
        <v>167</v>
      </c>
      <c r="C63" s="6" t="s">
        <v>54</v>
      </c>
      <c r="D63" s="7">
        <v>8.68</v>
      </c>
      <c r="E63" s="8">
        <v>222.47</v>
      </c>
    </row>
    <row r="64" spans="1:5">
      <c r="A64" s="6" t="s">
        <v>57</v>
      </c>
      <c r="B64" s="6" t="s">
        <v>167</v>
      </c>
      <c r="C64" s="6" t="s">
        <v>54</v>
      </c>
      <c r="D64" s="7">
        <v>10.65</v>
      </c>
      <c r="E64" s="8">
        <v>231.64</v>
      </c>
    </row>
    <row r="65" spans="1:5">
      <c r="A65" s="204" t="s">
        <v>7</v>
      </c>
      <c r="B65" s="6"/>
      <c r="C65" s="6"/>
      <c r="D65" s="207">
        <f>SUM(D61:D64)</f>
        <v>26</v>
      </c>
      <c r="E65" s="206">
        <f>SUM(E61:E64)</f>
        <v>602.24</v>
      </c>
    </row>
    <row r="66" spans="1:5">
      <c r="A66" s="204"/>
      <c r="B66" s="6"/>
      <c r="C66" s="6"/>
      <c r="D66" s="207"/>
      <c r="E66" s="206"/>
    </row>
    <row r="67" spans="1:5">
      <c r="A67" s="6" t="s">
        <v>42</v>
      </c>
      <c r="B67" s="210" t="s">
        <v>170</v>
      </c>
      <c r="C67" s="6" t="s">
        <v>43</v>
      </c>
      <c r="D67" s="7">
        <v>2.68</v>
      </c>
      <c r="E67" s="8">
        <v>79.489999999999995</v>
      </c>
    </row>
    <row r="68" spans="1:5">
      <c r="A68" s="204" t="s">
        <v>7</v>
      </c>
      <c r="B68" s="6"/>
      <c r="C68" s="6"/>
      <c r="D68" s="207">
        <v>2.68</v>
      </c>
      <c r="E68" s="206">
        <v>79.489999999999995</v>
      </c>
    </row>
    <row r="69" spans="1:5">
      <c r="A69" s="6"/>
      <c r="B69" s="6"/>
      <c r="C69" s="6"/>
      <c r="D69" s="7"/>
      <c r="E69" s="8"/>
    </row>
    <row r="70" spans="1:5">
      <c r="A70" s="2" t="s">
        <v>229</v>
      </c>
      <c r="B70" s="6" t="s">
        <v>171</v>
      </c>
      <c r="C70" s="6" t="s">
        <v>25</v>
      </c>
      <c r="D70" s="7">
        <v>0.63</v>
      </c>
      <c r="E70" s="8">
        <v>16.63</v>
      </c>
    </row>
    <row r="71" spans="1:5">
      <c r="A71" s="6" t="s">
        <v>222</v>
      </c>
      <c r="B71" s="210" t="s">
        <v>171</v>
      </c>
      <c r="C71" s="6" t="s">
        <v>25</v>
      </c>
      <c r="D71" s="7">
        <v>9.18</v>
      </c>
      <c r="E71" s="8">
        <v>241.06</v>
      </c>
    </row>
    <row r="72" spans="1:5">
      <c r="A72" s="6" t="s">
        <v>26</v>
      </c>
      <c r="B72" s="6" t="s">
        <v>171</v>
      </c>
      <c r="C72" s="6" t="s">
        <v>25</v>
      </c>
      <c r="D72" s="7">
        <v>0.98</v>
      </c>
      <c r="E72" s="8">
        <v>26.55</v>
      </c>
    </row>
    <row r="73" spans="1:5">
      <c r="A73" s="6" t="s">
        <v>223</v>
      </c>
      <c r="B73" s="210" t="s">
        <v>171</v>
      </c>
      <c r="C73" s="6" t="s">
        <v>25</v>
      </c>
      <c r="D73" s="7">
        <v>0.45</v>
      </c>
      <c r="E73" s="8">
        <v>11.48</v>
      </c>
    </row>
    <row r="74" spans="1:5">
      <c r="A74" s="204" t="s">
        <v>7</v>
      </c>
      <c r="B74" s="6"/>
      <c r="C74" s="6"/>
      <c r="D74" s="207">
        <f>SUM(D70:D73)</f>
        <v>11.24</v>
      </c>
      <c r="E74" s="206">
        <f>SUM(E70:E73)</f>
        <v>295.72000000000003</v>
      </c>
    </row>
    <row r="75" spans="1:5">
      <c r="A75" s="6"/>
      <c r="B75" s="6"/>
      <c r="C75" s="6"/>
      <c r="D75" s="7"/>
      <c r="E75" s="8"/>
    </row>
    <row r="76" spans="1:5">
      <c r="A76" s="6" t="s">
        <v>11</v>
      </c>
      <c r="B76" s="6" t="s">
        <v>172</v>
      </c>
      <c r="C76" s="6" t="s">
        <v>12</v>
      </c>
      <c r="D76" s="7">
        <v>3</v>
      </c>
      <c r="E76" s="8">
        <v>99.68</v>
      </c>
    </row>
    <row r="77" spans="1:5">
      <c r="A77" s="6" t="s">
        <v>13</v>
      </c>
      <c r="B77" s="6" t="s">
        <v>172</v>
      </c>
      <c r="C77" s="6" t="s">
        <v>12</v>
      </c>
      <c r="D77" s="7">
        <v>10.85</v>
      </c>
      <c r="E77" s="8">
        <v>391.25</v>
      </c>
    </row>
    <row r="78" spans="1:5">
      <c r="A78" s="204" t="s">
        <v>7</v>
      </c>
      <c r="B78" s="6"/>
      <c r="C78" s="6"/>
      <c r="D78" s="207">
        <f>SUM(D76:D77)</f>
        <v>13.85</v>
      </c>
      <c r="E78" s="206">
        <f>SUM(E76:E77)</f>
        <v>490.93</v>
      </c>
    </row>
    <row r="79" spans="1:5">
      <c r="A79" s="204"/>
      <c r="B79" s="6"/>
      <c r="C79" s="6"/>
      <c r="D79" s="207"/>
      <c r="E79" s="206"/>
    </row>
    <row r="80" spans="1:5">
      <c r="A80" s="6" t="s">
        <v>205</v>
      </c>
      <c r="B80" s="6">
        <v>100035</v>
      </c>
      <c r="C80" s="6" t="s">
        <v>206</v>
      </c>
      <c r="D80" s="7">
        <v>2.12</v>
      </c>
      <c r="E80" s="8">
        <v>61.06</v>
      </c>
    </row>
    <row r="81" spans="1:5">
      <c r="A81" s="204" t="s">
        <v>7</v>
      </c>
      <c r="B81" s="6"/>
      <c r="C81" s="6"/>
      <c r="D81" s="207">
        <f>SUM(D80)</f>
        <v>2.12</v>
      </c>
      <c r="E81" s="206">
        <f>SUM(E80)</f>
        <v>61.06</v>
      </c>
    </row>
    <row r="82" spans="1:5">
      <c r="A82" s="6"/>
      <c r="B82" s="6"/>
      <c r="C82" s="6"/>
      <c r="D82" s="7"/>
      <c r="E82" s="8"/>
    </row>
    <row r="83" spans="1:5">
      <c r="A83" s="2" t="s">
        <v>175</v>
      </c>
      <c r="B83" s="6">
        <v>100051</v>
      </c>
      <c r="C83" s="2" t="s">
        <v>34</v>
      </c>
      <c r="D83" s="7">
        <v>2</v>
      </c>
      <c r="E83" s="8">
        <v>34.5</v>
      </c>
    </row>
    <row r="84" spans="1:5">
      <c r="A84" s="2" t="s">
        <v>36</v>
      </c>
      <c r="B84" s="6">
        <v>100051</v>
      </c>
      <c r="C84" s="2" t="s">
        <v>34</v>
      </c>
      <c r="D84" s="7">
        <v>10.5</v>
      </c>
      <c r="E84" s="8">
        <v>220.5</v>
      </c>
    </row>
    <row r="85" spans="1:5">
      <c r="A85" s="6" t="s">
        <v>37</v>
      </c>
      <c r="B85" s="6">
        <v>100051</v>
      </c>
      <c r="C85" s="6" t="s">
        <v>34</v>
      </c>
      <c r="D85" s="7">
        <f>4.48+17.37</f>
        <v>21.85</v>
      </c>
      <c r="E85" s="8">
        <f>95.36+369.39</f>
        <v>464.75</v>
      </c>
    </row>
    <row r="86" spans="1:5">
      <c r="A86" s="6" t="s">
        <v>39</v>
      </c>
      <c r="B86" s="6" t="s">
        <v>174</v>
      </c>
      <c r="C86" s="6" t="s">
        <v>34</v>
      </c>
      <c r="D86" s="7">
        <v>4.5</v>
      </c>
      <c r="E86" s="8">
        <v>99.29</v>
      </c>
    </row>
    <row r="87" spans="1:5">
      <c r="A87" s="6" t="s">
        <v>41</v>
      </c>
      <c r="B87" s="6">
        <v>100051</v>
      </c>
      <c r="C87" s="2" t="s">
        <v>34</v>
      </c>
      <c r="D87" s="7">
        <v>5.63</v>
      </c>
      <c r="E87" s="8">
        <v>133.09</v>
      </c>
    </row>
    <row r="88" spans="1:5">
      <c r="A88" s="204" t="s">
        <v>7</v>
      </c>
      <c r="B88" s="6"/>
      <c r="C88" s="6"/>
      <c r="D88" s="207">
        <f>SUM(D83:D87)</f>
        <v>44.480000000000004</v>
      </c>
      <c r="E88" s="206">
        <f>SUM(E83:E87)</f>
        <v>952.13</v>
      </c>
    </row>
    <row r="89" spans="1:5">
      <c r="A89" s="204"/>
      <c r="B89" s="6"/>
      <c r="C89" s="6"/>
      <c r="D89" s="207"/>
      <c r="E89" s="206"/>
    </row>
    <row r="90" spans="1:5">
      <c r="A90" s="6" t="s">
        <v>136</v>
      </c>
      <c r="B90" s="6" t="s">
        <v>177</v>
      </c>
      <c r="C90" s="6" t="s">
        <v>137</v>
      </c>
      <c r="D90" s="7">
        <v>0.4</v>
      </c>
      <c r="E90" s="8">
        <v>11.66</v>
      </c>
    </row>
    <row r="91" spans="1:5">
      <c r="A91" s="204" t="s">
        <v>7</v>
      </c>
      <c r="B91" s="6"/>
      <c r="C91" s="6"/>
      <c r="D91" s="207">
        <f>SUM(D90)</f>
        <v>0.4</v>
      </c>
      <c r="E91" s="206">
        <f>SUM(E90)</f>
        <v>11.66</v>
      </c>
    </row>
    <row r="92" spans="1:5">
      <c r="A92" s="6"/>
      <c r="B92" s="6"/>
      <c r="C92" s="6"/>
      <c r="D92" s="7"/>
      <c r="E92" s="8"/>
    </row>
    <row r="93" spans="1:5">
      <c r="A93" s="6" t="s">
        <v>145</v>
      </c>
      <c r="B93" s="6" t="s">
        <v>178</v>
      </c>
      <c r="C93" s="6" t="s">
        <v>146</v>
      </c>
      <c r="D93" s="7">
        <v>3.38</v>
      </c>
      <c r="E93" s="8">
        <v>97.59</v>
      </c>
    </row>
    <row r="94" spans="1:5">
      <c r="A94" s="204" t="s">
        <v>7</v>
      </c>
      <c r="B94" s="6"/>
      <c r="C94" s="6"/>
      <c r="D94" s="207">
        <f>SUM(D93)</f>
        <v>3.38</v>
      </c>
      <c r="E94" s="206">
        <f>SUM(E93)</f>
        <v>97.59</v>
      </c>
    </row>
    <row r="95" spans="1:5">
      <c r="A95" s="6"/>
      <c r="B95" s="6"/>
      <c r="C95" s="6"/>
      <c r="D95" s="7"/>
      <c r="E95" s="8"/>
    </row>
    <row r="96" spans="1:5">
      <c r="A96" s="6" t="s">
        <v>143</v>
      </c>
      <c r="B96" s="6" t="s">
        <v>179</v>
      </c>
      <c r="C96" s="6" t="s">
        <v>141</v>
      </c>
      <c r="D96" s="7">
        <v>1.02</v>
      </c>
      <c r="E96" s="8">
        <v>19.78</v>
      </c>
    </row>
    <row r="97" spans="1:5">
      <c r="A97" s="2" t="s">
        <v>142</v>
      </c>
      <c r="B97" s="6">
        <v>290051</v>
      </c>
      <c r="C97" s="2" t="s">
        <v>141</v>
      </c>
      <c r="D97" s="7">
        <v>0.8</v>
      </c>
      <c r="E97" s="8">
        <v>12</v>
      </c>
    </row>
    <row r="98" spans="1:5">
      <c r="A98" s="6" t="s">
        <v>215</v>
      </c>
      <c r="B98" s="6">
        <v>290051</v>
      </c>
      <c r="C98" s="6" t="s">
        <v>141</v>
      </c>
      <c r="D98" s="7">
        <v>1.1000000000000001</v>
      </c>
      <c r="E98" s="8">
        <v>16.809999999999999</v>
      </c>
    </row>
    <row r="99" spans="1:5">
      <c r="A99" s="6" t="s">
        <v>144</v>
      </c>
      <c r="B99" s="6" t="s">
        <v>179</v>
      </c>
      <c r="C99" s="6" t="s">
        <v>141</v>
      </c>
      <c r="D99" s="7">
        <v>0.55000000000000004</v>
      </c>
      <c r="E99" s="8">
        <v>9.7200000000000006</v>
      </c>
    </row>
    <row r="100" spans="1:5">
      <c r="A100" s="204" t="s">
        <v>7</v>
      </c>
      <c r="B100" s="6"/>
      <c r="C100" s="6"/>
      <c r="D100" s="207">
        <f>SUM(D96:D99)</f>
        <v>3.4699999999999998</v>
      </c>
      <c r="E100" s="206">
        <f>SUM(E96:E99)</f>
        <v>58.31</v>
      </c>
    </row>
    <row r="101" spans="1:5">
      <c r="A101" s="6"/>
      <c r="B101" s="6"/>
      <c r="C101" s="6"/>
      <c r="D101" s="7"/>
      <c r="E101" s="8"/>
    </row>
    <row r="102" spans="1:5">
      <c r="A102" s="6" t="s">
        <v>95</v>
      </c>
      <c r="B102" s="6" t="s">
        <v>180</v>
      </c>
      <c r="C102" s="6" t="s">
        <v>96</v>
      </c>
      <c r="D102" s="7">
        <v>3.65</v>
      </c>
      <c r="E102" s="8">
        <v>98.5</v>
      </c>
    </row>
    <row r="103" spans="1:5">
      <c r="A103" s="204" t="s">
        <v>7</v>
      </c>
      <c r="B103" s="6"/>
      <c r="C103" s="6"/>
      <c r="D103" s="207">
        <f>SUM(D102)</f>
        <v>3.65</v>
      </c>
      <c r="E103" s="206">
        <f>SUM(E102)</f>
        <v>98.5</v>
      </c>
    </row>
    <row r="104" spans="1:5">
      <c r="A104" s="6"/>
      <c r="B104" s="6"/>
      <c r="C104" s="6"/>
      <c r="D104" s="7"/>
      <c r="E104" s="8"/>
    </row>
    <row r="105" spans="1:5">
      <c r="A105" s="6" t="s">
        <v>97</v>
      </c>
      <c r="B105" s="6" t="s">
        <v>181</v>
      </c>
      <c r="C105" s="6" t="s">
        <v>98</v>
      </c>
      <c r="D105" s="7">
        <v>0.92</v>
      </c>
      <c r="E105" s="8">
        <v>27.24</v>
      </c>
    </row>
    <row r="106" spans="1:5">
      <c r="A106" s="204" t="s">
        <v>7</v>
      </c>
      <c r="B106" s="6"/>
      <c r="C106" s="6"/>
      <c r="D106" s="207">
        <f>SUM(D105:D105)</f>
        <v>0.92</v>
      </c>
      <c r="E106" s="206">
        <f>SUM(E105:E105)</f>
        <v>27.24</v>
      </c>
    </row>
    <row r="107" spans="1:5">
      <c r="A107" s="6"/>
      <c r="B107" s="6"/>
      <c r="C107" s="6"/>
      <c r="D107" s="7"/>
      <c r="E107" s="8"/>
    </row>
    <row r="108" spans="1:5">
      <c r="A108" s="6" t="s">
        <v>100</v>
      </c>
      <c r="B108" s="6" t="s">
        <v>182</v>
      </c>
      <c r="C108" s="6" t="s">
        <v>101</v>
      </c>
      <c r="D108" s="7">
        <v>3.05</v>
      </c>
      <c r="E108" s="8">
        <v>88.43</v>
      </c>
    </row>
    <row r="109" spans="1:5">
      <c r="A109" s="204" t="s">
        <v>7</v>
      </c>
      <c r="B109" s="6"/>
      <c r="C109" s="6"/>
      <c r="D109" s="207">
        <f>SUM(D108)</f>
        <v>3.05</v>
      </c>
      <c r="E109" s="206">
        <f>SUM(E108)</f>
        <v>88.43</v>
      </c>
    </row>
    <row r="110" spans="1:5">
      <c r="A110" s="6"/>
      <c r="B110" s="6"/>
      <c r="C110" s="6"/>
      <c r="D110" s="7"/>
      <c r="E110" s="8"/>
    </row>
    <row r="111" spans="1:5">
      <c r="A111" s="2" t="s">
        <v>123</v>
      </c>
      <c r="B111" s="6">
        <v>450045</v>
      </c>
      <c r="C111" s="2" t="s">
        <v>131</v>
      </c>
      <c r="D111" s="7">
        <v>12.25</v>
      </c>
      <c r="E111" s="8">
        <v>206.72</v>
      </c>
    </row>
    <row r="112" spans="1:5">
      <c r="A112" s="204" t="s">
        <v>7</v>
      </c>
      <c r="B112" s="6"/>
      <c r="C112" s="6"/>
      <c r="D112" s="207">
        <f>SUM(D111:D111)</f>
        <v>12.25</v>
      </c>
      <c r="E112" s="206">
        <f>SUM(E111:E111)</f>
        <v>206.72</v>
      </c>
    </row>
    <row r="113" spans="1:5">
      <c r="A113" s="6"/>
      <c r="B113" s="6"/>
      <c r="C113" s="6"/>
      <c r="D113" s="7"/>
      <c r="E113" s="8"/>
    </row>
    <row r="114" spans="1:5">
      <c r="A114" s="6" t="s">
        <v>121</v>
      </c>
      <c r="B114" s="6" t="s">
        <v>188</v>
      </c>
      <c r="C114" s="6" t="s">
        <v>129</v>
      </c>
      <c r="D114" s="7">
        <v>18.93</v>
      </c>
      <c r="E114" s="8">
        <v>443.89</v>
      </c>
    </row>
    <row r="115" spans="1:5">
      <c r="A115" s="204" t="s">
        <v>7</v>
      </c>
      <c r="B115" s="6"/>
      <c r="C115" s="6"/>
      <c r="D115" s="207">
        <f>SUM(D114:D114)</f>
        <v>18.93</v>
      </c>
      <c r="E115" s="206">
        <f>SUM(E114:E114)</f>
        <v>443.89</v>
      </c>
    </row>
    <row r="116" spans="1:5">
      <c r="A116" s="6"/>
      <c r="B116" s="6"/>
      <c r="C116" s="6"/>
      <c r="D116" s="7"/>
      <c r="E116" s="8"/>
    </row>
    <row r="117" spans="1:5">
      <c r="A117" s="6" t="s">
        <v>115</v>
      </c>
      <c r="B117" s="6" t="s">
        <v>189</v>
      </c>
      <c r="C117" s="6" t="s">
        <v>104</v>
      </c>
      <c r="D117" s="7">
        <v>2.2000000000000002</v>
      </c>
      <c r="E117" s="8">
        <v>35.57</v>
      </c>
    </row>
    <row r="118" spans="1:5">
      <c r="A118" s="6" t="s">
        <v>117</v>
      </c>
      <c r="B118" s="6" t="s">
        <v>189</v>
      </c>
      <c r="C118" s="6" t="s">
        <v>104</v>
      </c>
      <c r="D118" s="7">
        <v>6.65</v>
      </c>
      <c r="E118" s="8">
        <v>105.93</v>
      </c>
    </row>
    <row r="119" spans="1:5">
      <c r="A119" s="2" t="s">
        <v>230</v>
      </c>
      <c r="B119" s="6">
        <v>450051</v>
      </c>
      <c r="C119" s="2" t="s">
        <v>104</v>
      </c>
      <c r="D119" s="7">
        <v>0.08</v>
      </c>
      <c r="E119" s="8">
        <v>1.1299999999999999</v>
      </c>
    </row>
    <row r="120" spans="1:5">
      <c r="A120" s="6" t="s">
        <v>118</v>
      </c>
      <c r="B120" s="6" t="s">
        <v>189</v>
      </c>
      <c r="C120" s="6" t="s">
        <v>104</v>
      </c>
      <c r="D120" s="7">
        <v>4</v>
      </c>
      <c r="E120" s="8">
        <v>90</v>
      </c>
    </row>
    <row r="121" spans="1:5">
      <c r="A121" s="6" t="s">
        <v>124</v>
      </c>
      <c r="B121" s="6" t="s">
        <v>189</v>
      </c>
      <c r="C121" s="6" t="s">
        <v>104</v>
      </c>
      <c r="D121" s="7">
        <v>12.27</v>
      </c>
      <c r="E121" s="8">
        <v>276</v>
      </c>
    </row>
    <row r="122" spans="1:5">
      <c r="A122" s="6" t="s">
        <v>227</v>
      </c>
      <c r="B122" s="6">
        <v>450051</v>
      </c>
      <c r="C122" s="6" t="s">
        <v>104</v>
      </c>
      <c r="D122" s="7">
        <v>0.55000000000000004</v>
      </c>
      <c r="E122" s="8">
        <v>7.84</v>
      </c>
    </row>
    <row r="123" spans="1:5">
      <c r="A123" s="6" t="s">
        <v>231</v>
      </c>
      <c r="B123" s="6">
        <v>450051</v>
      </c>
      <c r="C123" s="6" t="s">
        <v>104</v>
      </c>
      <c r="D123" s="7">
        <v>0.77</v>
      </c>
      <c r="E123" s="8">
        <v>10.35</v>
      </c>
    </row>
    <row r="124" spans="1:5">
      <c r="A124" s="6" t="s">
        <v>232</v>
      </c>
      <c r="B124" s="6">
        <v>450051</v>
      </c>
      <c r="C124" s="6" t="s">
        <v>104</v>
      </c>
      <c r="D124" s="7">
        <v>0.9</v>
      </c>
      <c r="E124" s="8">
        <v>12.15</v>
      </c>
    </row>
    <row r="125" spans="1:5">
      <c r="A125" s="6" t="s">
        <v>233</v>
      </c>
      <c r="B125" s="6">
        <v>450051</v>
      </c>
      <c r="C125" s="6" t="s">
        <v>104</v>
      </c>
      <c r="D125" s="7">
        <v>0.82</v>
      </c>
      <c r="E125" s="8">
        <v>11.03</v>
      </c>
    </row>
    <row r="126" spans="1:5">
      <c r="A126" s="6" t="s">
        <v>234</v>
      </c>
      <c r="B126" s="6">
        <v>450051</v>
      </c>
      <c r="C126" s="6" t="s">
        <v>104</v>
      </c>
      <c r="D126" s="7">
        <v>0.28000000000000003</v>
      </c>
      <c r="E126" s="8">
        <v>3.83</v>
      </c>
    </row>
    <row r="127" spans="1:5">
      <c r="A127" s="204" t="s">
        <v>7</v>
      </c>
      <c r="B127" s="6"/>
      <c r="C127" s="6"/>
      <c r="D127" s="207">
        <f>SUM(D117:D126)</f>
        <v>28.520000000000003</v>
      </c>
      <c r="E127" s="206">
        <f>SUM(E117:E126)</f>
        <v>553.83000000000004</v>
      </c>
    </row>
    <row r="128" spans="1:5">
      <c r="A128" s="204"/>
      <c r="B128" s="6"/>
      <c r="C128" s="6"/>
      <c r="D128" s="207"/>
      <c r="E128" s="206"/>
    </row>
    <row r="129" spans="1:5">
      <c r="D129" s="4"/>
      <c r="E129" s="5"/>
    </row>
    <row r="130" spans="1:5">
      <c r="A130" s="1" t="s">
        <v>194</v>
      </c>
      <c r="D130" s="207">
        <f>D127+D115+D112+D109+D106+D103+D100+D94+D91+D88+D81+D78+D74+D68+D65+D59+D56+D51+D48+D28+D23+D18+D14+D11+D8</f>
        <v>596.57000000000016</v>
      </c>
      <c r="E130" s="207">
        <f>E127+E115+E112+E109+E106+E103+E100+E94+E91+E88+E81+E78+E74+E68+E65+E59+E56+E51+E48+E28+E23+E18+E14+E11+E8</f>
        <v>12851.55</v>
      </c>
    </row>
  </sheetData>
  <pageMargins left="0.75" right="0.75" top="1" bottom="1" header="0.5" footer="0.5"/>
  <pageSetup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E14"/>
  <sheetViews>
    <sheetView workbookViewId="0">
      <selection activeCell="C13" sqref="C13"/>
    </sheetView>
  </sheetViews>
  <sheetFormatPr defaultRowHeight="12.75"/>
  <cols>
    <col min="2" max="2" width="11.28515625" bestFit="1" customWidth="1"/>
    <col min="3" max="4" width="17.28515625" bestFit="1" customWidth="1"/>
    <col min="5" max="5" width="12.7109375" customWidth="1"/>
  </cols>
  <sheetData>
    <row r="1" spans="1:5">
      <c r="A1" s="35" t="s">
        <v>349</v>
      </c>
      <c r="B1" s="35" t="s">
        <v>350</v>
      </c>
      <c r="C1" s="35" t="s">
        <v>577</v>
      </c>
      <c r="D1" s="35" t="s">
        <v>514</v>
      </c>
      <c r="E1" s="35" t="s">
        <v>353</v>
      </c>
    </row>
    <row r="2" spans="1:5">
      <c r="A2" s="18" t="s">
        <v>354</v>
      </c>
      <c r="B2" s="18">
        <v>126.75</v>
      </c>
      <c r="C2" s="278">
        <v>3808.75</v>
      </c>
      <c r="D2" s="36">
        <v>10079.75</v>
      </c>
      <c r="E2" s="54">
        <f>D2-C2</f>
        <v>6271</v>
      </c>
    </row>
    <row r="3" spans="1:5">
      <c r="A3" s="18" t="s">
        <v>355</v>
      </c>
      <c r="B3" s="18">
        <v>114.31</v>
      </c>
      <c r="C3" s="278">
        <v>3287.58</v>
      </c>
      <c r="D3" s="36">
        <v>6059.34</v>
      </c>
      <c r="E3" s="54">
        <f t="shared" ref="E3:E12" si="0">D3-C3</f>
        <v>2771.76</v>
      </c>
    </row>
    <row r="4" spans="1:5">
      <c r="A4" s="18" t="s">
        <v>356</v>
      </c>
      <c r="B4" s="18">
        <v>344.11</v>
      </c>
      <c r="C4" s="278">
        <v>9255.84</v>
      </c>
      <c r="D4" s="36">
        <v>14058.61</v>
      </c>
      <c r="E4" s="54">
        <f t="shared" si="0"/>
        <v>4802.7700000000004</v>
      </c>
    </row>
    <row r="5" spans="1:5">
      <c r="A5" s="18" t="s">
        <v>357</v>
      </c>
      <c r="B5" s="18">
        <v>233.27</v>
      </c>
      <c r="C5" s="278">
        <v>6362.29</v>
      </c>
      <c r="D5" s="36">
        <v>11307.13</v>
      </c>
      <c r="E5" s="54">
        <f t="shared" si="0"/>
        <v>4944.8399999999992</v>
      </c>
    </row>
    <row r="6" spans="1:5">
      <c r="A6" s="18" t="s">
        <v>358</v>
      </c>
      <c r="B6" s="18">
        <v>147.05000000000001</v>
      </c>
      <c r="C6" s="278">
        <v>3968.5</v>
      </c>
      <c r="D6" s="36">
        <v>10622.13</v>
      </c>
      <c r="E6" s="54">
        <f t="shared" si="0"/>
        <v>6653.6299999999992</v>
      </c>
    </row>
    <row r="7" spans="1:5">
      <c r="A7" s="18" t="s">
        <v>359</v>
      </c>
      <c r="B7" s="107">
        <v>261.58999999999997</v>
      </c>
      <c r="C7" s="278">
        <v>7223.22</v>
      </c>
      <c r="D7" s="36">
        <v>9050.2099999999991</v>
      </c>
      <c r="E7" s="54">
        <f t="shared" si="0"/>
        <v>1826.9899999999989</v>
      </c>
    </row>
    <row r="8" spans="1:5">
      <c r="A8" s="18" t="s">
        <v>360</v>
      </c>
      <c r="B8" s="18">
        <v>148.07</v>
      </c>
      <c r="C8" s="278">
        <v>4355.29</v>
      </c>
      <c r="D8" s="36">
        <v>8523.76</v>
      </c>
      <c r="E8" s="54">
        <f t="shared" si="0"/>
        <v>4168.47</v>
      </c>
    </row>
    <row r="9" spans="1:5">
      <c r="A9" s="18" t="s">
        <v>361</v>
      </c>
      <c r="B9" s="18">
        <v>143.78</v>
      </c>
      <c r="C9" s="278">
        <v>3950.64</v>
      </c>
      <c r="D9" s="36">
        <v>6814.57</v>
      </c>
      <c r="E9" s="54">
        <f t="shared" si="0"/>
        <v>2863.93</v>
      </c>
    </row>
    <row r="10" spans="1:5">
      <c r="A10" s="18" t="s">
        <v>362</v>
      </c>
      <c r="B10" s="18">
        <v>193.89</v>
      </c>
      <c r="C10" s="278">
        <v>5535.76</v>
      </c>
      <c r="D10" s="36">
        <v>5495.59</v>
      </c>
      <c r="E10" s="54">
        <f t="shared" si="0"/>
        <v>-40.170000000000073</v>
      </c>
    </row>
    <row r="11" spans="1:5">
      <c r="A11" s="18" t="s">
        <v>363</v>
      </c>
      <c r="B11" s="18">
        <v>249.31</v>
      </c>
      <c r="C11" s="278">
        <v>7207.52</v>
      </c>
      <c r="D11" s="36">
        <v>6060.41</v>
      </c>
      <c r="E11" s="54">
        <f t="shared" si="0"/>
        <v>-1147.1100000000006</v>
      </c>
    </row>
    <row r="12" spans="1:5">
      <c r="A12" s="18" t="s">
        <v>364</v>
      </c>
      <c r="B12" s="18">
        <v>456.55</v>
      </c>
      <c r="C12" s="278">
        <v>12627.84</v>
      </c>
      <c r="D12" s="36">
        <v>4228.78</v>
      </c>
      <c r="E12" s="54">
        <f t="shared" si="0"/>
        <v>-8399.0600000000013</v>
      </c>
    </row>
    <row r="13" spans="1:5">
      <c r="A13" s="18" t="s">
        <v>365</v>
      </c>
      <c r="B13" s="18"/>
      <c r="C13" s="278"/>
      <c r="D13" s="36">
        <v>7973.81</v>
      </c>
      <c r="E13" s="54"/>
    </row>
    <row r="14" spans="1:5">
      <c r="B14" s="18"/>
      <c r="C14" s="37">
        <f>SUM(C2:C13)</f>
        <v>67583.23</v>
      </c>
      <c r="D14" s="67">
        <f>SUM(D2:D13)</f>
        <v>100274.09</v>
      </c>
      <c r="E14" s="121">
        <f>SUM(E2:E13)</f>
        <v>24717.05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61"/>
  <sheetViews>
    <sheetView workbookViewId="0">
      <pane ySplit="1" topLeftCell="A137" activePane="bottomLeft" state="frozenSplit"/>
      <selection pane="bottomLeft" activeCell="E161" sqref="E161"/>
    </sheetView>
  </sheetViews>
  <sheetFormatPr defaultRowHeight="12.75"/>
  <cols>
    <col min="1" max="1" width="31.7109375" customWidth="1"/>
    <col min="2" max="2" width="22.7109375" customWidth="1"/>
    <col min="3" max="3" width="36.7109375" customWidth="1"/>
    <col min="4" max="4" width="22.7109375" customWidth="1"/>
    <col min="5" max="5" width="25.7109375" customWidth="1"/>
  </cols>
  <sheetData>
    <row r="1" spans="1:5">
      <c r="A1" s="1" t="s">
        <v>147</v>
      </c>
      <c r="B1" s="1" t="s">
        <v>148</v>
      </c>
      <c r="C1" s="1" t="s">
        <v>149</v>
      </c>
      <c r="D1" s="1" t="s">
        <v>150</v>
      </c>
      <c r="E1" s="1" t="s">
        <v>151</v>
      </c>
    </row>
    <row r="2" spans="1:5">
      <c r="A2" s="6" t="s">
        <v>20</v>
      </c>
      <c r="B2" s="6" t="s">
        <v>152</v>
      </c>
      <c r="C2" s="6" t="s">
        <v>15</v>
      </c>
      <c r="D2" s="7">
        <v>1.62</v>
      </c>
      <c r="E2" s="8">
        <v>41.23</v>
      </c>
    </row>
    <row r="3" spans="1:5">
      <c r="A3" s="6" t="s">
        <v>18</v>
      </c>
      <c r="B3" s="6" t="s">
        <v>152</v>
      </c>
      <c r="C3" s="6" t="s">
        <v>15</v>
      </c>
      <c r="D3" s="7">
        <v>2.4700000000000002</v>
      </c>
      <c r="E3" s="8">
        <v>68.67</v>
      </c>
    </row>
    <row r="4" spans="1:5">
      <c r="A4" s="2" t="s">
        <v>19</v>
      </c>
      <c r="B4" s="3" t="s">
        <v>152</v>
      </c>
      <c r="C4" s="2" t="s">
        <v>15</v>
      </c>
      <c r="D4" s="7">
        <v>4</v>
      </c>
      <c r="E4" s="8">
        <v>119.4</v>
      </c>
    </row>
    <row r="5" spans="1:5">
      <c r="A5" s="6" t="s">
        <v>17</v>
      </c>
      <c r="B5" s="6" t="s">
        <v>152</v>
      </c>
      <c r="C5" s="6" t="s">
        <v>15</v>
      </c>
      <c r="D5" s="7">
        <v>0.25</v>
      </c>
      <c r="E5" s="8">
        <v>5.81</v>
      </c>
    </row>
    <row r="6" spans="1:5">
      <c r="A6" s="6" t="s">
        <v>21</v>
      </c>
      <c r="B6" s="6" t="s">
        <v>152</v>
      </c>
      <c r="C6" s="6" t="s">
        <v>15</v>
      </c>
      <c r="D6" s="7">
        <v>3.1</v>
      </c>
      <c r="E6" s="8">
        <v>96.77</v>
      </c>
    </row>
    <row r="7" spans="1:5">
      <c r="A7" s="6" t="s">
        <v>16</v>
      </c>
      <c r="B7" s="210" t="s">
        <v>152</v>
      </c>
      <c r="C7" s="6" t="s">
        <v>15</v>
      </c>
      <c r="D7" s="7">
        <v>2.92</v>
      </c>
      <c r="E7" s="8">
        <v>73.239999999999995</v>
      </c>
    </row>
    <row r="8" spans="1:5">
      <c r="A8" s="204" t="s">
        <v>7</v>
      </c>
      <c r="B8" s="6"/>
      <c r="C8" s="6"/>
      <c r="D8" s="205">
        <f>SUM(D2:D7)</f>
        <v>14.36</v>
      </c>
      <c r="E8" s="206">
        <f>SUM(E2:E7)</f>
        <v>405.12</v>
      </c>
    </row>
    <row r="9" spans="1:5">
      <c r="A9" s="6"/>
      <c r="B9" s="6"/>
      <c r="C9" s="6"/>
      <c r="D9" s="7"/>
      <c r="E9" s="8"/>
    </row>
    <row r="10" spans="1:5">
      <c r="A10" s="2" t="s">
        <v>28</v>
      </c>
      <c r="B10" s="3" t="s">
        <v>217</v>
      </c>
      <c r="C10" s="2" t="s">
        <v>218</v>
      </c>
      <c r="D10" s="7">
        <v>1.45</v>
      </c>
      <c r="E10" s="8">
        <v>38.18</v>
      </c>
    </row>
    <row r="11" spans="1:5">
      <c r="A11" s="204" t="s">
        <v>7</v>
      </c>
      <c r="B11" s="6"/>
      <c r="C11" s="6"/>
      <c r="D11" s="207">
        <v>1.45</v>
      </c>
      <c r="E11" s="206">
        <v>38.18</v>
      </c>
    </row>
    <row r="12" spans="1:5">
      <c r="A12" s="6"/>
      <c r="B12" s="6"/>
      <c r="C12" s="6"/>
      <c r="D12" s="7"/>
      <c r="E12" s="8"/>
    </row>
    <row r="13" spans="1:5">
      <c r="A13" s="2" t="s">
        <v>209</v>
      </c>
      <c r="B13" s="3" t="s">
        <v>154</v>
      </c>
      <c r="C13" s="2" t="s">
        <v>23</v>
      </c>
      <c r="D13" s="7">
        <v>1.4</v>
      </c>
      <c r="E13" s="8">
        <v>38.369999999999997</v>
      </c>
    </row>
    <row r="14" spans="1:5">
      <c r="A14" s="6" t="s">
        <v>22</v>
      </c>
      <c r="B14" s="210" t="s">
        <v>154</v>
      </c>
      <c r="C14" s="6" t="s">
        <v>23</v>
      </c>
      <c r="D14" s="7">
        <v>0.77</v>
      </c>
      <c r="E14" s="8">
        <v>22.67</v>
      </c>
    </row>
    <row r="15" spans="1:5">
      <c r="A15" s="204" t="s">
        <v>7</v>
      </c>
      <c r="B15" s="6"/>
      <c r="C15" s="6"/>
      <c r="D15" s="207">
        <f>SUM(D13:D14)</f>
        <v>2.17</v>
      </c>
      <c r="E15" s="206">
        <f>SUM(E13:E14)</f>
        <v>61.04</v>
      </c>
    </row>
    <row r="16" spans="1:5">
      <c r="A16" s="6"/>
      <c r="B16" s="6"/>
      <c r="C16" s="6"/>
      <c r="D16" s="7"/>
      <c r="E16" s="8"/>
    </row>
    <row r="17" spans="1:5">
      <c r="A17" s="6" t="s">
        <v>30</v>
      </c>
      <c r="B17" s="6" t="s">
        <v>155</v>
      </c>
      <c r="C17" s="6" t="s">
        <v>31</v>
      </c>
      <c r="D17" s="7">
        <v>0.13</v>
      </c>
      <c r="E17" s="8">
        <v>3.4</v>
      </c>
    </row>
    <row r="18" spans="1:5">
      <c r="A18" s="6" t="s">
        <v>195</v>
      </c>
      <c r="B18" s="210" t="s">
        <v>155</v>
      </c>
      <c r="C18" s="6" t="s">
        <v>196</v>
      </c>
      <c r="D18" s="7">
        <v>1.45</v>
      </c>
      <c r="E18" s="8">
        <v>43.5</v>
      </c>
    </row>
    <row r="19" spans="1:5">
      <c r="A19" s="204" t="s">
        <v>7</v>
      </c>
      <c r="B19" s="6"/>
      <c r="C19" s="6"/>
      <c r="D19" s="207">
        <f>SUM(D17:D18)</f>
        <v>1.58</v>
      </c>
      <c r="E19" s="206">
        <f>SUM(E17:E18)</f>
        <v>46.9</v>
      </c>
    </row>
    <row r="20" spans="1:5">
      <c r="A20" s="204"/>
      <c r="B20" s="6"/>
      <c r="C20" s="6"/>
      <c r="D20" s="207"/>
      <c r="E20" s="206"/>
    </row>
    <row r="21" spans="1:5">
      <c r="A21" s="6" t="s">
        <v>219</v>
      </c>
      <c r="B21" s="210" t="s">
        <v>198</v>
      </c>
      <c r="C21" s="6" t="s">
        <v>199</v>
      </c>
      <c r="D21" s="7">
        <v>5.75</v>
      </c>
      <c r="E21" s="8">
        <v>192.86</v>
      </c>
    </row>
    <row r="22" spans="1:5">
      <c r="A22" s="6" t="s">
        <v>38</v>
      </c>
      <c r="B22" s="210" t="s">
        <v>198</v>
      </c>
      <c r="C22" s="6" t="s">
        <v>199</v>
      </c>
      <c r="D22" s="7">
        <f>10.63+9.4</f>
        <v>20.03</v>
      </c>
      <c r="E22" s="8">
        <f>247.23+218.55</f>
        <v>465.78</v>
      </c>
    </row>
    <row r="23" spans="1:5">
      <c r="A23" s="204" t="s">
        <v>7</v>
      </c>
      <c r="B23" s="6"/>
      <c r="C23" s="6"/>
      <c r="D23" s="207">
        <f>SUM(D21:D22)</f>
        <v>25.78</v>
      </c>
      <c r="E23" s="206">
        <f>SUM(E21:E22)</f>
        <v>658.64</v>
      </c>
    </row>
    <row r="24" spans="1:5">
      <c r="A24" s="6"/>
      <c r="B24" s="6"/>
      <c r="C24" s="6"/>
      <c r="D24" s="7"/>
      <c r="E24" s="8"/>
    </row>
    <row r="25" spans="1:5">
      <c r="A25" s="6" t="s">
        <v>14</v>
      </c>
      <c r="B25" s="6" t="s">
        <v>156</v>
      </c>
      <c r="C25" s="6" t="s">
        <v>91</v>
      </c>
      <c r="D25" s="7">
        <v>4.32</v>
      </c>
      <c r="E25" s="8">
        <v>110.08</v>
      </c>
    </row>
    <row r="26" spans="1:5">
      <c r="A26" s="6" t="s">
        <v>94</v>
      </c>
      <c r="B26" s="6" t="s">
        <v>156</v>
      </c>
      <c r="C26" s="6" t="s">
        <v>91</v>
      </c>
      <c r="D26" s="7">
        <v>5.93</v>
      </c>
      <c r="E26" s="8">
        <v>155.75</v>
      </c>
    </row>
    <row r="27" spans="1:5">
      <c r="A27" s="6" t="s">
        <v>92</v>
      </c>
      <c r="B27" s="6" t="s">
        <v>156</v>
      </c>
      <c r="C27" s="6" t="s">
        <v>91</v>
      </c>
      <c r="D27" s="7">
        <v>3.38</v>
      </c>
      <c r="E27" s="8">
        <v>86.93</v>
      </c>
    </row>
    <row r="28" spans="1:5">
      <c r="A28" s="204" t="s">
        <v>7</v>
      </c>
      <c r="B28" s="6"/>
      <c r="C28" s="6"/>
      <c r="D28" s="207">
        <f>SUM(D25:D27)</f>
        <v>13.629999999999999</v>
      </c>
      <c r="E28" s="206">
        <f>SUM(E25:E27)</f>
        <v>352.76</v>
      </c>
    </row>
    <row r="29" spans="1:5">
      <c r="A29" s="6"/>
      <c r="B29" s="6"/>
      <c r="C29" s="6"/>
      <c r="D29" s="7"/>
      <c r="E29" s="8"/>
    </row>
    <row r="30" spans="1:5">
      <c r="A30" s="6" t="s">
        <v>83</v>
      </c>
      <c r="B30" s="6" t="s">
        <v>157</v>
      </c>
      <c r="C30" s="6" t="s">
        <v>66</v>
      </c>
      <c r="D30" s="7">
        <v>9.15</v>
      </c>
      <c r="E30" s="8">
        <v>171.56</v>
      </c>
    </row>
    <row r="31" spans="1:5">
      <c r="A31" s="2" t="s">
        <v>235</v>
      </c>
      <c r="B31" s="3" t="s">
        <v>157</v>
      </c>
      <c r="C31" s="2" t="s">
        <v>66</v>
      </c>
      <c r="D31" s="7">
        <v>4.53</v>
      </c>
      <c r="E31" s="8">
        <v>85</v>
      </c>
    </row>
    <row r="32" spans="1:5">
      <c r="A32" s="2" t="s">
        <v>228</v>
      </c>
      <c r="B32" s="3" t="s">
        <v>157</v>
      </c>
      <c r="C32" s="2" t="s">
        <v>66</v>
      </c>
      <c r="D32" s="7">
        <v>12.72</v>
      </c>
      <c r="E32" s="8">
        <v>238.44</v>
      </c>
    </row>
    <row r="33" spans="1:5">
      <c r="A33" s="2" t="s">
        <v>236</v>
      </c>
      <c r="B33" s="3" t="s">
        <v>157</v>
      </c>
      <c r="C33" s="2" t="s">
        <v>66</v>
      </c>
      <c r="D33" s="7">
        <v>19.25</v>
      </c>
      <c r="E33" s="8">
        <v>346.5</v>
      </c>
    </row>
    <row r="34" spans="1:5">
      <c r="A34" s="6" t="s">
        <v>75</v>
      </c>
      <c r="B34" s="6" t="s">
        <v>157</v>
      </c>
      <c r="C34" s="6" t="s">
        <v>66</v>
      </c>
      <c r="D34" s="7">
        <v>4.18</v>
      </c>
      <c r="E34" s="8">
        <v>75.3</v>
      </c>
    </row>
    <row r="35" spans="1:5">
      <c r="A35" s="2" t="s">
        <v>210</v>
      </c>
      <c r="B35" s="3" t="s">
        <v>157</v>
      </c>
      <c r="C35" s="2" t="s">
        <v>66</v>
      </c>
      <c r="D35" s="7">
        <v>33.869999999999997</v>
      </c>
      <c r="E35" s="8">
        <v>609.6</v>
      </c>
    </row>
    <row r="36" spans="1:5">
      <c r="A36" s="6" t="s">
        <v>74</v>
      </c>
      <c r="B36" s="6" t="s">
        <v>157</v>
      </c>
      <c r="C36" s="6" t="s">
        <v>66</v>
      </c>
      <c r="D36" s="7">
        <v>8.8800000000000008</v>
      </c>
      <c r="E36" s="8">
        <v>173.23</v>
      </c>
    </row>
    <row r="37" spans="1:5">
      <c r="A37" s="6" t="s">
        <v>87</v>
      </c>
      <c r="B37" s="6" t="s">
        <v>157</v>
      </c>
      <c r="C37" s="6" t="s">
        <v>66</v>
      </c>
      <c r="D37" s="7">
        <v>2.3199999999999998</v>
      </c>
      <c r="E37" s="8">
        <v>52.13</v>
      </c>
    </row>
    <row r="38" spans="1:5">
      <c r="A38" s="6" t="s">
        <v>89</v>
      </c>
      <c r="B38" s="6" t="s">
        <v>157</v>
      </c>
      <c r="C38" s="6" t="s">
        <v>66</v>
      </c>
      <c r="D38" s="7">
        <v>7.18</v>
      </c>
      <c r="E38" s="8">
        <v>123.91</v>
      </c>
    </row>
    <row r="39" spans="1:5">
      <c r="A39" s="6" t="s">
        <v>237</v>
      </c>
      <c r="B39" s="210" t="s">
        <v>157</v>
      </c>
      <c r="C39" s="6" t="s">
        <v>66</v>
      </c>
      <c r="D39" s="7">
        <v>20.83</v>
      </c>
      <c r="E39" s="8">
        <v>390.63</v>
      </c>
    </row>
    <row r="40" spans="1:5">
      <c r="A40" s="6" t="s">
        <v>86</v>
      </c>
      <c r="B40" s="6" t="s">
        <v>157</v>
      </c>
      <c r="C40" s="6" t="s">
        <v>66</v>
      </c>
      <c r="D40" s="7">
        <v>3.82</v>
      </c>
      <c r="E40" s="8">
        <v>74.430000000000007</v>
      </c>
    </row>
    <row r="41" spans="1:5">
      <c r="A41" s="6" t="s">
        <v>84</v>
      </c>
      <c r="B41" s="6" t="s">
        <v>157</v>
      </c>
      <c r="C41" s="6" t="s">
        <v>66</v>
      </c>
      <c r="D41" s="7">
        <v>11.55</v>
      </c>
      <c r="E41" s="8">
        <v>207.9</v>
      </c>
    </row>
    <row r="42" spans="1:5">
      <c r="A42" s="6" t="s">
        <v>201</v>
      </c>
      <c r="B42" s="210" t="s">
        <v>157</v>
      </c>
      <c r="C42" s="6" t="s">
        <v>66</v>
      </c>
      <c r="D42" s="7">
        <v>26.33</v>
      </c>
      <c r="E42" s="8">
        <v>474</v>
      </c>
    </row>
    <row r="43" spans="1:5">
      <c r="A43" s="6" t="s">
        <v>85</v>
      </c>
      <c r="B43" s="6" t="s">
        <v>157</v>
      </c>
      <c r="C43" s="6" t="s">
        <v>66</v>
      </c>
      <c r="D43" s="7">
        <v>9.5</v>
      </c>
      <c r="E43" s="8">
        <v>220.59</v>
      </c>
    </row>
    <row r="44" spans="1:5">
      <c r="A44" s="6" t="s">
        <v>159</v>
      </c>
      <c r="B44" s="6" t="s">
        <v>157</v>
      </c>
      <c r="C44" s="6" t="s">
        <v>66</v>
      </c>
      <c r="D44" s="7">
        <v>16.75</v>
      </c>
      <c r="E44" s="8">
        <v>326.63</v>
      </c>
    </row>
    <row r="45" spans="1:5">
      <c r="A45" s="6" t="s">
        <v>88</v>
      </c>
      <c r="B45" s="6" t="s">
        <v>157</v>
      </c>
      <c r="C45" s="6" t="s">
        <v>66</v>
      </c>
      <c r="D45" s="7">
        <v>22.2</v>
      </c>
      <c r="E45" s="8">
        <v>399.6</v>
      </c>
    </row>
    <row r="46" spans="1:5">
      <c r="A46" s="6" t="s">
        <v>35</v>
      </c>
      <c r="B46" s="6" t="s">
        <v>157</v>
      </c>
      <c r="C46" s="6" t="s">
        <v>66</v>
      </c>
      <c r="D46" s="7">
        <v>22.28</v>
      </c>
      <c r="E46" s="8">
        <v>490.01</v>
      </c>
    </row>
    <row r="47" spans="1:5">
      <c r="A47" s="6" t="s">
        <v>79</v>
      </c>
      <c r="B47" s="6" t="s">
        <v>157</v>
      </c>
      <c r="C47" s="6" t="s">
        <v>66</v>
      </c>
      <c r="D47" s="7">
        <v>30.33</v>
      </c>
      <c r="E47" s="8">
        <v>705.25</v>
      </c>
    </row>
    <row r="48" spans="1:5">
      <c r="A48" s="6" t="s">
        <v>202</v>
      </c>
      <c r="B48" s="210" t="s">
        <v>157</v>
      </c>
      <c r="C48" s="6" t="s">
        <v>66</v>
      </c>
      <c r="D48" s="7">
        <v>1.75</v>
      </c>
      <c r="E48" s="8">
        <v>34.130000000000003</v>
      </c>
    </row>
    <row r="49" spans="1:5">
      <c r="A49" s="6" t="s">
        <v>160</v>
      </c>
      <c r="B49" s="6" t="s">
        <v>157</v>
      </c>
      <c r="C49" s="6" t="s">
        <v>66</v>
      </c>
      <c r="D49" s="7">
        <v>19.55</v>
      </c>
      <c r="E49" s="8">
        <v>410.55</v>
      </c>
    </row>
    <row r="50" spans="1:5">
      <c r="A50" s="6" t="s">
        <v>238</v>
      </c>
      <c r="B50" s="210" t="s">
        <v>157</v>
      </c>
      <c r="C50" s="6" t="s">
        <v>66</v>
      </c>
      <c r="D50" s="7">
        <v>3.98</v>
      </c>
      <c r="E50" s="8">
        <v>77.680000000000007</v>
      </c>
    </row>
    <row r="51" spans="1:5">
      <c r="A51" s="6" t="s">
        <v>161</v>
      </c>
      <c r="B51" s="6" t="s">
        <v>157</v>
      </c>
      <c r="C51" s="6" t="s">
        <v>66</v>
      </c>
      <c r="D51" s="7">
        <v>3.45</v>
      </c>
      <c r="E51" s="8">
        <v>67.28</v>
      </c>
    </row>
    <row r="52" spans="1:5">
      <c r="A52" s="204" t="s">
        <v>7</v>
      </c>
      <c r="B52" s="6"/>
      <c r="C52" s="6"/>
      <c r="D52" s="207">
        <f>SUM(D30:D51)</f>
        <v>294.39999999999998</v>
      </c>
      <c r="E52" s="206">
        <f>SUM(E30:E51)</f>
        <v>5754.35</v>
      </c>
    </row>
    <row r="53" spans="1:5">
      <c r="A53" s="6"/>
      <c r="B53" s="6"/>
      <c r="C53" s="6"/>
      <c r="D53" s="7"/>
      <c r="E53" s="8"/>
    </row>
    <row r="54" spans="1:5">
      <c r="A54" s="2" t="s">
        <v>52</v>
      </c>
      <c r="B54" s="3" t="s">
        <v>162</v>
      </c>
      <c r="C54" s="2" t="s">
        <v>51</v>
      </c>
      <c r="D54" s="7">
        <v>4.37</v>
      </c>
      <c r="E54" s="8">
        <v>94.98</v>
      </c>
    </row>
    <row r="55" spans="1:5">
      <c r="A55" s="6" t="s">
        <v>163</v>
      </c>
      <c r="B55" s="6" t="s">
        <v>162</v>
      </c>
      <c r="C55" s="6" t="s">
        <v>51</v>
      </c>
      <c r="D55" s="7">
        <v>18.68</v>
      </c>
      <c r="E55" s="8">
        <v>448.4</v>
      </c>
    </row>
    <row r="56" spans="1:5">
      <c r="A56" s="204" t="s">
        <v>7</v>
      </c>
      <c r="B56" s="6"/>
      <c r="C56" s="6"/>
      <c r="D56" s="207">
        <f>SUM(D54:D55)</f>
        <v>23.05</v>
      </c>
      <c r="E56" s="206">
        <f>SUM(E54:E55)</f>
        <v>543.38</v>
      </c>
    </row>
    <row r="57" spans="1:5">
      <c r="A57" s="6"/>
      <c r="B57" s="6"/>
      <c r="C57" s="6"/>
      <c r="D57" s="7"/>
      <c r="E57" s="8"/>
    </row>
    <row r="58" spans="1:5">
      <c r="A58" s="2" t="s">
        <v>203</v>
      </c>
      <c r="B58" s="3" t="s">
        <v>164</v>
      </c>
      <c r="C58" s="2" t="s">
        <v>60</v>
      </c>
      <c r="D58" s="7">
        <v>11.23</v>
      </c>
      <c r="E58" s="8">
        <v>210.63</v>
      </c>
    </row>
    <row r="59" spans="1:5">
      <c r="A59" s="6" t="s">
        <v>63</v>
      </c>
      <c r="B59" s="6" t="s">
        <v>164</v>
      </c>
      <c r="C59" s="6" t="s">
        <v>60</v>
      </c>
      <c r="D59" s="7">
        <v>1.83</v>
      </c>
      <c r="E59" s="8">
        <v>31.63</v>
      </c>
    </row>
    <row r="60" spans="1:5">
      <c r="A60" s="6" t="s">
        <v>64</v>
      </c>
      <c r="B60" s="6" t="s">
        <v>164</v>
      </c>
      <c r="C60" s="6" t="s">
        <v>60</v>
      </c>
      <c r="D60" s="7">
        <v>28.65</v>
      </c>
      <c r="E60" s="8">
        <v>487.2</v>
      </c>
    </row>
    <row r="61" spans="1:5">
      <c r="A61" s="204" t="s">
        <v>7</v>
      </c>
      <c r="B61" s="6"/>
      <c r="C61" s="6"/>
      <c r="D61" s="207">
        <f>SUM(D58:D60)</f>
        <v>41.71</v>
      </c>
      <c r="E61" s="206">
        <f>SUM(E58:E60)</f>
        <v>729.46</v>
      </c>
    </row>
    <row r="62" spans="1:5">
      <c r="A62" s="204"/>
      <c r="B62" s="6"/>
      <c r="C62" s="6"/>
      <c r="D62" s="207"/>
      <c r="E62" s="206"/>
    </row>
    <row r="63" spans="1:5">
      <c r="A63" s="6" t="s">
        <v>221</v>
      </c>
      <c r="B63" s="210" t="s">
        <v>165</v>
      </c>
      <c r="C63" s="6" t="s">
        <v>45</v>
      </c>
      <c r="D63" s="7">
        <v>6.15</v>
      </c>
      <c r="E63" s="8">
        <v>115.31</v>
      </c>
    </row>
    <row r="64" spans="1:5">
      <c r="A64" s="204" t="s">
        <v>7</v>
      </c>
      <c r="B64" s="6"/>
      <c r="C64" s="6"/>
      <c r="D64" s="207">
        <f>SUM(D63)</f>
        <v>6.15</v>
      </c>
      <c r="E64" s="206">
        <f>SUM(E63)</f>
        <v>115.31</v>
      </c>
    </row>
    <row r="65" spans="1:5">
      <c r="A65" s="2"/>
      <c r="B65" s="3"/>
      <c r="C65" s="2"/>
      <c r="D65" s="7"/>
      <c r="E65" s="8"/>
    </row>
    <row r="66" spans="1:5">
      <c r="A66" s="6" t="s">
        <v>58</v>
      </c>
      <c r="B66" s="6" t="s">
        <v>167</v>
      </c>
      <c r="C66" s="6" t="s">
        <v>54</v>
      </c>
      <c r="D66" s="7">
        <v>3.33</v>
      </c>
      <c r="E66" s="8">
        <v>85.4</v>
      </c>
    </row>
    <row r="67" spans="1:5">
      <c r="A67" s="6" t="s">
        <v>57</v>
      </c>
      <c r="B67" s="6" t="s">
        <v>167</v>
      </c>
      <c r="C67" s="6" t="s">
        <v>54</v>
      </c>
      <c r="D67" s="7">
        <v>5.05</v>
      </c>
      <c r="E67" s="8">
        <v>109.84</v>
      </c>
    </row>
    <row r="68" spans="1:5">
      <c r="A68" s="204" t="s">
        <v>7</v>
      </c>
      <c r="B68" s="6"/>
      <c r="C68" s="6"/>
      <c r="D68" s="207">
        <f>SUM(D66:D67)</f>
        <v>8.379999999999999</v>
      </c>
      <c r="E68" s="206">
        <f>SUM(E66:E67)</f>
        <v>195.24</v>
      </c>
    </row>
    <row r="69" spans="1:5">
      <c r="A69" s="204"/>
      <c r="B69" s="6"/>
      <c r="C69" s="6"/>
      <c r="D69" s="207"/>
      <c r="E69" s="206"/>
    </row>
    <row r="70" spans="1:5">
      <c r="A70" s="6" t="s">
        <v>42</v>
      </c>
      <c r="B70" s="210" t="s">
        <v>170</v>
      </c>
      <c r="C70" s="6" t="s">
        <v>43</v>
      </c>
      <c r="D70" s="7">
        <v>19.399999999999999</v>
      </c>
      <c r="E70" s="8">
        <v>574.73</v>
      </c>
    </row>
    <row r="71" spans="1:5">
      <c r="A71" s="204" t="s">
        <v>7</v>
      </c>
      <c r="B71" s="6"/>
      <c r="C71" s="6"/>
      <c r="D71" s="207">
        <f>SUM(D70)</f>
        <v>19.399999999999999</v>
      </c>
      <c r="E71" s="206">
        <f>SUM(E70)</f>
        <v>574.73</v>
      </c>
    </row>
    <row r="72" spans="1:5">
      <c r="A72" s="204"/>
      <c r="B72" s="6"/>
      <c r="C72" s="6"/>
      <c r="D72" s="207"/>
      <c r="E72" s="206"/>
    </row>
    <row r="73" spans="1:5">
      <c r="A73" s="6" t="s">
        <v>239</v>
      </c>
      <c r="B73" s="210" t="s">
        <v>240</v>
      </c>
      <c r="C73" s="6" t="s">
        <v>241</v>
      </c>
      <c r="D73" s="7">
        <v>1.87</v>
      </c>
      <c r="E73" s="8">
        <v>44.8</v>
      </c>
    </row>
    <row r="74" spans="1:5">
      <c r="A74" s="204" t="s">
        <v>7</v>
      </c>
      <c r="B74" s="6"/>
      <c r="C74" s="6"/>
      <c r="D74" s="207">
        <f>SUM(D73)</f>
        <v>1.87</v>
      </c>
      <c r="E74" s="206">
        <f>SUM(E73)</f>
        <v>44.8</v>
      </c>
    </row>
    <row r="75" spans="1:5">
      <c r="A75" s="6"/>
      <c r="B75" s="6"/>
      <c r="C75" s="6"/>
      <c r="D75" s="7"/>
      <c r="E75" s="8"/>
    </row>
    <row r="76" spans="1:5">
      <c r="A76" s="2" t="s">
        <v>229</v>
      </c>
      <c r="B76" s="6" t="s">
        <v>171</v>
      </c>
      <c r="C76" s="6" t="s">
        <v>25</v>
      </c>
      <c r="D76" s="7">
        <v>6.92</v>
      </c>
      <c r="E76" s="8">
        <v>181.56</v>
      </c>
    </row>
    <row r="77" spans="1:5">
      <c r="A77" s="6" t="s">
        <v>222</v>
      </c>
      <c r="B77" s="210" t="s">
        <v>171</v>
      </c>
      <c r="C77" s="6" t="s">
        <v>25</v>
      </c>
      <c r="D77" s="7">
        <v>16.25</v>
      </c>
      <c r="E77" s="8">
        <v>426.56</v>
      </c>
    </row>
    <row r="78" spans="1:5">
      <c r="A78" s="6" t="s">
        <v>26</v>
      </c>
      <c r="B78" s="6" t="s">
        <v>171</v>
      </c>
      <c r="C78" s="6" t="s">
        <v>25</v>
      </c>
      <c r="D78" s="7">
        <v>4.07</v>
      </c>
      <c r="E78" s="8">
        <v>109.8</v>
      </c>
    </row>
    <row r="79" spans="1:5">
      <c r="A79" s="6" t="s">
        <v>223</v>
      </c>
      <c r="B79" s="210" t="s">
        <v>171</v>
      </c>
      <c r="C79" s="6" t="s">
        <v>25</v>
      </c>
      <c r="D79" s="7">
        <v>0.57999999999999996</v>
      </c>
      <c r="E79" s="8">
        <v>14.88</v>
      </c>
    </row>
    <row r="80" spans="1:5">
      <c r="A80" s="204" t="s">
        <v>7</v>
      </c>
      <c r="B80" s="6"/>
      <c r="C80" s="6"/>
      <c r="D80" s="207">
        <f>SUM(D76:D79)</f>
        <v>27.82</v>
      </c>
      <c r="E80" s="206">
        <f>SUM(E76:E79)</f>
        <v>732.8</v>
      </c>
    </row>
    <row r="81" spans="1:5">
      <c r="A81" s="6"/>
      <c r="B81" s="6"/>
      <c r="C81" s="6"/>
      <c r="D81" s="7"/>
      <c r="E81" s="8"/>
    </row>
    <row r="82" spans="1:5">
      <c r="A82" s="6" t="s">
        <v>11</v>
      </c>
      <c r="B82" s="6" t="s">
        <v>172</v>
      </c>
      <c r="C82" s="6" t="s">
        <v>12</v>
      </c>
      <c r="D82" s="7">
        <v>2.4</v>
      </c>
      <c r="E82" s="8">
        <v>79.739999999999995</v>
      </c>
    </row>
    <row r="83" spans="1:5">
      <c r="A83" s="6" t="s">
        <v>13</v>
      </c>
      <c r="B83" s="6" t="s">
        <v>172</v>
      </c>
      <c r="C83" s="6" t="s">
        <v>12</v>
      </c>
      <c r="D83" s="7">
        <v>10.57</v>
      </c>
      <c r="E83" s="8">
        <v>381.03</v>
      </c>
    </row>
    <row r="84" spans="1:5">
      <c r="A84" s="204" t="s">
        <v>7</v>
      </c>
      <c r="B84" s="6"/>
      <c r="C84" s="6"/>
      <c r="D84" s="207">
        <f>SUM(D82:D83)</f>
        <v>12.97</v>
      </c>
      <c r="E84" s="206">
        <f>SUM(E82:E83)</f>
        <v>460.77</v>
      </c>
    </row>
    <row r="85" spans="1:5">
      <c r="A85" s="204"/>
      <c r="B85" s="6"/>
      <c r="C85" s="6"/>
      <c r="D85" s="207"/>
      <c r="E85" s="206"/>
    </row>
    <row r="86" spans="1:5">
      <c r="A86" s="6" t="s">
        <v>242</v>
      </c>
      <c r="B86" s="3" t="s">
        <v>225</v>
      </c>
      <c r="C86" s="2" t="s">
        <v>243</v>
      </c>
      <c r="D86" s="7">
        <v>1.1299999999999999</v>
      </c>
      <c r="E86" s="8">
        <v>36.770000000000003</v>
      </c>
    </row>
    <row r="87" spans="1:5">
      <c r="A87" s="204" t="s">
        <v>7</v>
      </c>
      <c r="B87" s="6"/>
      <c r="C87" s="6"/>
      <c r="D87" s="207">
        <v>1.1299999999999999</v>
      </c>
      <c r="E87" s="206">
        <v>36.770000000000003</v>
      </c>
    </row>
    <row r="88" spans="1:5">
      <c r="A88" s="204"/>
      <c r="B88" s="6"/>
      <c r="C88" s="6"/>
      <c r="D88" s="207"/>
      <c r="E88" s="206"/>
    </row>
    <row r="89" spans="1:5">
      <c r="A89" s="6" t="s">
        <v>205</v>
      </c>
      <c r="B89" s="6">
        <v>100035</v>
      </c>
      <c r="C89" s="6" t="s">
        <v>206</v>
      </c>
      <c r="D89" s="7">
        <v>3.03</v>
      </c>
      <c r="E89" s="8">
        <v>87.5</v>
      </c>
    </row>
    <row r="90" spans="1:5">
      <c r="A90" s="204" t="s">
        <v>7</v>
      </c>
      <c r="B90" s="6"/>
      <c r="C90" s="6"/>
      <c r="D90" s="207">
        <f>SUM(D89)</f>
        <v>3.03</v>
      </c>
      <c r="E90" s="206">
        <f>SUM(E89)</f>
        <v>87.5</v>
      </c>
    </row>
    <row r="91" spans="1:5">
      <c r="A91" s="6"/>
      <c r="B91" s="6"/>
      <c r="C91" s="6"/>
      <c r="D91" s="7"/>
      <c r="E91" s="8"/>
    </row>
    <row r="92" spans="1:5">
      <c r="A92" s="2" t="s">
        <v>173</v>
      </c>
      <c r="B92" s="6">
        <v>100051</v>
      </c>
      <c r="C92" s="2" t="s">
        <v>34</v>
      </c>
      <c r="D92" s="7">
        <v>19.87</v>
      </c>
      <c r="E92" s="8">
        <v>327.8</v>
      </c>
    </row>
    <row r="93" spans="1:5">
      <c r="A93" s="2" t="s">
        <v>175</v>
      </c>
      <c r="B93" s="6">
        <v>100051</v>
      </c>
      <c r="C93" s="2" t="s">
        <v>34</v>
      </c>
      <c r="D93" s="7">
        <v>21.97</v>
      </c>
      <c r="E93" s="8">
        <v>378.93</v>
      </c>
    </row>
    <row r="94" spans="1:5">
      <c r="A94" s="2" t="s">
        <v>36</v>
      </c>
      <c r="B94" s="6">
        <v>100051</v>
      </c>
      <c r="C94" s="2" t="s">
        <v>34</v>
      </c>
      <c r="D94" s="7">
        <v>15.5</v>
      </c>
      <c r="E94" s="8">
        <v>325.5</v>
      </c>
    </row>
    <row r="95" spans="1:5">
      <c r="A95" s="6" t="s">
        <v>37</v>
      </c>
      <c r="B95" s="6">
        <v>100051</v>
      </c>
      <c r="C95" s="6" t="s">
        <v>34</v>
      </c>
      <c r="D95" s="7">
        <f>15.42+23.22</f>
        <v>38.64</v>
      </c>
      <c r="E95" s="8">
        <f>327.91+493.82</f>
        <v>821.73</v>
      </c>
    </row>
    <row r="96" spans="1:5">
      <c r="A96" s="6" t="s">
        <v>39</v>
      </c>
      <c r="B96" s="6" t="s">
        <v>174</v>
      </c>
      <c r="C96" s="6" t="s">
        <v>34</v>
      </c>
      <c r="D96" s="7">
        <v>7.55</v>
      </c>
      <c r="E96" s="8">
        <v>166.59</v>
      </c>
    </row>
    <row r="97" spans="1:5">
      <c r="A97" s="6" t="s">
        <v>41</v>
      </c>
      <c r="B97" s="6">
        <v>100051</v>
      </c>
      <c r="C97" s="2" t="s">
        <v>34</v>
      </c>
      <c r="D97" s="7">
        <v>8.48</v>
      </c>
      <c r="E97" s="8">
        <v>200.42</v>
      </c>
    </row>
    <row r="98" spans="1:5">
      <c r="A98" s="204" t="s">
        <v>7</v>
      </c>
      <c r="B98" s="6"/>
      <c r="C98" s="6"/>
      <c r="D98" s="207">
        <f>SUM(D92:D97)</f>
        <v>112.01</v>
      </c>
      <c r="E98" s="206">
        <f>SUM(E92:E97)</f>
        <v>2220.9699999999998</v>
      </c>
    </row>
    <row r="99" spans="1:5">
      <c r="A99" s="204"/>
      <c r="B99" s="6"/>
      <c r="C99" s="6"/>
      <c r="D99" s="207"/>
      <c r="E99" s="206"/>
    </row>
    <row r="100" spans="1:5">
      <c r="A100" s="6" t="s">
        <v>136</v>
      </c>
      <c r="B100" s="6" t="s">
        <v>177</v>
      </c>
      <c r="C100" s="6" t="s">
        <v>137</v>
      </c>
      <c r="D100" s="7">
        <v>1.45</v>
      </c>
      <c r="E100" s="8">
        <v>42.56</v>
      </c>
    </row>
    <row r="101" spans="1:5">
      <c r="A101" s="204" t="s">
        <v>7</v>
      </c>
      <c r="B101" s="6"/>
      <c r="C101" s="6"/>
      <c r="D101" s="207">
        <f>SUM(D100)</f>
        <v>1.45</v>
      </c>
      <c r="E101" s="206">
        <f>SUM(E100)</f>
        <v>42.56</v>
      </c>
    </row>
    <row r="102" spans="1:5">
      <c r="A102" s="6"/>
      <c r="B102" s="6"/>
      <c r="C102" s="6"/>
      <c r="D102" s="7"/>
      <c r="E102" s="8"/>
    </row>
    <row r="103" spans="1:5">
      <c r="A103" s="6" t="s">
        <v>145</v>
      </c>
      <c r="B103" s="6" t="s">
        <v>178</v>
      </c>
      <c r="C103" s="6" t="s">
        <v>146</v>
      </c>
      <c r="D103" s="7">
        <v>1.38</v>
      </c>
      <c r="E103" s="8">
        <v>39.9</v>
      </c>
    </row>
    <row r="104" spans="1:5">
      <c r="A104" s="204" t="s">
        <v>7</v>
      </c>
      <c r="B104" s="6"/>
      <c r="C104" s="6"/>
      <c r="D104" s="207">
        <f>SUM(D103)</f>
        <v>1.38</v>
      </c>
      <c r="E104" s="206">
        <f>SUM(E103)</f>
        <v>39.9</v>
      </c>
    </row>
    <row r="105" spans="1:5">
      <c r="A105" s="6"/>
      <c r="B105" s="6"/>
      <c r="C105" s="6"/>
      <c r="D105" s="7"/>
      <c r="E105" s="8"/>
    </row>
    <row r="106" spans="1:5">
      <c r="A106" s="6" t="s">
        <v>143</v>
      </c>
      <c r="B106" s="6" t="s">
        <v>179</v>
      </c>
      <c r="C106" s="6" t="s">
        <v>141</v>
      </c>
      <c r="D106" s="7">
        <v>22.48</v>
      </c>
      <c r="E106" s="8">
        <v>437.41</v>
      </c>
    </row>
    <row r="107" spans="1:5">
      <c r="A107" s="2" t="s">
        <v>142</v>
      </c>
      <c r="B107" s="6">
        <v>290051</v>
      </c>
      <c r="C107" s="2" t="s">
        <v>141</v>
      </c>
      <c r="D107" s="7">
        <v>20.25</v>
      </c>
      <c r="E107" s="8">
        <v>303.75</v>
      </c>
    </row>
    <row r="108" spans="1:5">
      <c r="A108" s="6" t="s">
        <v>215</v>
      </c>
      <c r="B108" s="6">
        <v>290051</v>
      </c>
      <c r="C108" s="6" t="s">
        <v>141</v>
      </c>
      <c r="D108" s="7">
        <v>27.17</v>
      </c>
      <c r="E108" s="8">
        <v>415.24</v>
      </c>
    </row>
    <row r="109" spans="1:5">
      <c r="A109" s="6" t="s">
        <v>144</v>
      </c>
      <c r="B109" s="6" t="s">
        <v>179</v>
      </c>
      <c r="C109" s="6" t="s">
        <v>141</v>
      </c>
      <c r="D109" s="7">
        <v>26.13</v>
      </c>
      <c r="E109" s="8">
        <v>461.78</v>
      </c>
    </row>
    <row r="110" spans="1:5">
      <c r="A110" s="204" t="s">
        <v>7</v>
      </c>
      <c r="B110" s="6"/>
      <c r="C110" s="6"/>
      <c r="D110" s="207">
        <f>SUM(D106:D109)</f>
        <v>96.03</v>
      </c>
      <c r="E110" s="206">
        <f>SUM(E106:E109)</f>
        <v>1618.18</v>
      </c>
    </row>
    <row r="111" spans="1:5">
      <c r="A111" s="6"/>
      <c r="B111" s="6"/>
      <c r="C111" s="6"/>
      <c r="D111" s="7"/>
      <c r="E111" s="8"/>
    </row>
    <row r="112" spans="1:5">
      <c r="A112" s="6" t="s">
        <v>95</v>
      </c>
      <c r="B112" s="6" t="s">
        <v>180</v>
      </c>
      <c r="C112" s="6" t="s">
        <v>96</v>
      </c>
      <c r="D112" s="7">
        <v>8.48</v>
      </c>
      <c r="E112" s="8">
        <v>228.92</v>
      </c>
    </row>
    <row r="113" spans="1:5">
      <c r="A113" s="204" t="s">
        <v>7</v>
      </c>
      <c r="B113" s="6"/>
      <c r="C113" s="6"/>
      <c r="D113" s="207">
        <f>SUM(D112)</f>
        <v>8.48</v>
      </c>
      <c r="E113" s="206">
        <f>SUM(E112)</f>
        <v>228.92</v>
      </c>
    </row>
    <row r="114" spans="1:5">
      <c r="A114" s="6"/>
      <c r="B114" s="6"/>
      <c r="C114" s="6"/>
      <c r="D114" s="7"/>
      <c r="E114" s="8"/>
    </row>
    <row r="115" spans="1:5">
      <c r="A115" s="2" t="s">
        <v>244</v>
      </c>
      <c r="B115" s="6">
        <v>400020</v>
      </c>
      <c r="C115" s="2" t="s">
        <v>98</v>
      </c>
      <c r="D115" s="7">
        <v>2.62</v>
      </c>
      <c r="E115" s="8">
        <v>62.8</v>
      </c>
    </row>
    <row r="116" spans="1:5">
      <c r="A116" s="6" t="s">
        <v>97</v>
      </c>
      <c r="B116" s="6" t="s">
        <v>181</v>
      </c>
      <c r="C116" s="6" t="s">
        <v>98</v>
      </c>
      <c r="D116" s="7">
        <v>3.15</v>
      </c>
      <c r="E116" s="8">
        <v>93.6</v>
      </c>
    </row>
    <row r="117" spans="1:5">
      <c r="A117" s="204" t="s">
        <v>7</v>
      </c>
      <c r="B117" s="6"/>
      <c r="C117" s="6"/>
      <c r="D117" s="207">
        <f>SUM(D115:D116)</f>
        <v>5.77</v>
      </c>
      <c r="E117" s="206">
        <f>SUM(E115:E116)</f>
        <v>156.39999999999998</v>
      </c>
    </row>
    <row r="118" spans="1:5">
      <c r="A118" s="6"/>
      <c r="B118" s="6"/>
      <c r="C118" s="6"/>
      <c r="D118" s="7"/>
      <c r="E118" s="8"/>
    </row>
    <row r="119" spans="1:5">
      <c r="A119" s="6" t="s">
        <v>100</v>
      </c>
      <c r="B119" s="6" t="s">
        <v>182</v>
      </c>
      <c r="C119" s="6" t="s">
        <v>101</v>
      </c>
      <c r="D119" s="7">
        <v>5.67</v>
      </c>
      <c r="E119" s="8">
        <v>164.31</v>
      </c>
    </row>
    <row r="120" spans="1:5">
      <c r="A120" s="204" t="s">
        <v>7</v>
      </c>
      <c r="B120" s="6"/>
      <c r="C120" s="6"/>
      <c r="D120" s="207">
        <f>SUM(D119)</f>
        <v>5.67</v>
      </c>
      <c r="E120" s="206">
        <f>SUM(E119)</f>
        <v>164.31</v>
      </c>
    </row>
    <row r="121" spans="1:5">
      <c r="A121" s="204"/>
      <c r="B121" s="6"/>
      <c r="C121" s="6"/>
      <c r="D121" s="207"/>
      <c r="E121" s="206"/>
    </row>
    <row r="122" spans="1:5">
      <c r="A122" s="6" t="s">
        <v>245</v>
      </c>
      <c r="B122" s="6">
        <v>450044</v>
      </c>
      <c r="C122" s="6" t="s">
        <v>134</v>
      </c>
      <c r="D122" s="7">
        <v>4.4000000000000004</v>
      </c>
      <c r="E122" s="8">
        <v>92.4</v>
      </c>
    </row>
    <row r="123" spans="1:5">
      <c r="A123" s="204" t="s">
        <v>7</v>
      </c>
      <c r="B123" s="6"/>
      <c r="C123" s="6"/>
      <c r="D123" s="207">
        <v>4.4000000000000004</v>
      </c>
      <c r="E123" s="206">
        <v>92.4</v>
      </c>
    </row>
    <row r="124" spans="1:5">
      <c r="A124" s="6"/>
      <c r="B124" s="6"/>
      <c r="C124" s="6"/>
      <c r="D124" s="7"/>
      <c r="E124" s="8"/>
    </row>
    <row r="125" spans="1:5">
      <c r="A125" s="2" t="s">
        <v>123</v>
      </c>
      <c r="B125" s="6">
        <v>450045</v>
      </c>
      <c r="C125" s="2" t="s">
        <v>131</v>
      </c>
      <c r="D125" s="7">
        <v>10.220000000000001</v>
      </c>
      <c r="E125" s="8">
        <v>172.41</v>
      </c>
    </row>
    <row r="126" spans="1:5">
      <c r="A126" s="204" t="s">
        <v>7</v>
      </c>
      <c r="B126" s="6"/>
      <c r="C126" s="6"/>
      <c r="D126" s="207">
        <f>SUM(D125:D125)</f>
        <v>10.220000000000001</v>
      </c>
      <c r="E126" s="206">
        <f>SUM(E125:E125)</f>
        <v>172.41</v>
      </c>
    </row>
    <row r="127" spans="1:5">
      <c r="A127" s="6"/>
      <c r="B127" s="6"/>
      <c r="C127" s="6"/>
      <c r="D127" s="7"/>
      <c r="E127" s="8"/>
    </row>
    <row r="128" spans="1:5">
      <c r="A128" s="2" t="s">
        <v>130</v>
      </c>
      <c r="B128" s="6">
        <v>450049</v>
      </c>
      <c r="C128" s="2" t="s">
        <v>129</v>
      </c>
      <c r="D128" s="7">
        <v>2.3199999999999998</v>
      </c>
      <c r="E128" s="8">
        <v>38.229999999999997</v>
      </c>
    </row>
    <row r="129" spans="1:5">
      <c r="A129" s="6" t="s">
        <v>121</v>
      </c>
      <c r="B129" s="6" t="s">
        <v>188</v>
      </c>
      <c r="C129" s="6" t="s">
        <v>129</v>
      </c>
      <c r="D129" s="7">
        <v>12.8</v>
      </c>
      <c r="E129" s="8">
        <v>300.10000000000002</v>
      </c>
    </row>
    <row r="130" spans="1:5">
      <c r="A130" s="204" t="s">
        <v>7</v>
      </c>
      <c r="B130" s="6"/>
      <c r="C130" s="6"/>
      <c r="D130" s="207">
        <f>SUM(D128:D129)</f>
        <v>15.120000000000001</v>
      </c>
      <c r="E130" s="206">
        <f>SUM(E128:E129)</f>
        <v>338.33000000000004</v>
      </c>
    </row>
    <row r="131" spans="1:5">
      <c r="A131" s="6"/>
      <c r="B131" s="6"/>
      <c r="C131" s="6"/>
      <c r="D131" s="7"/>
      <c r="E131" s="8"/>
    </row>
    <row r="132" spans="1:5">
      <c r="A132" s="2" t="s">
        <v>108</v>
      </c>
      <c r="B132" s="6">
        <v>450051</v>
      </c>
      <c r="C132" s="2" t="s">
        <v>104</v>
      </c>
      <c r="D132" s="7">
        <v>0.43</v>
      </c>
      <c r="E132" s="8">
        <v>6.9</v>
      </c>
    </row>
    <row r="133" spans="1:5">
      <c r="A133" s="2" t="s">
        <v>190</v>
      </c>
      <c r="B133" s="6">
        <v>450051</v>
      </c>
      <c r="C133" s="2" t="s">
        <v>104</v>
      </c>
      <c r="D133" s="7">
        <v>0.4</v>
      </c>
      <c r="E133" s="8">
        <v>5.4</v>
      </c>
    </row>
    <row r="134" spans="1:5">
      <c r="A134" s="2" t="s">
        <v>109</v>
      </c>
      <c r="B134" s="6">
        <v>450051</v>
      </c>
      <c r="C134" s="2" t="s">
        <v>104</v>
      </c>
      <c r="D134" s="7">
        <v>1.77</v>
      </c>
      <c r="E134" s="8">
        <v>25.18</v>
      </c>
    </row>
    <row r="135" spans="1:5">
      <c r="A135" s="6" t="s">
        <v>115</v>
      </c>
      <c r="B135" s="6" t="s">
        <v>189</v>
      </c>
      <c r="C135" s="6" t="s">
        <v>104</v>
      </c>
      <c r="D135" s="7">
        <v>1.8</v>
      </c>
      <c r="E135" s="8">
        <v>29.11</v>
      </c>
    </row>
    <row r="136" spans="1:5">
      <c r="A136" s="2" t="s">
        <v>119</v>
      </c>
      <c r="B136" s="6">
        <v>450051</v>
      </c>
      <c r="C136" s="2" t="s">
        <v>104</v>
      </c>
      <c r="D136" s="7">
        <v>7.18</v>
      </c>
      <c r="E136" s="8">
        <v>117.34</v>
      </c>
    </row>
    <row r="137" spans="1:5">
      <c r="A137" s="6" t="s">
        <v>117</v>
      </c>
      <c r="B137" s="6" t="s">
        <v>189</v>
      </c>
      <c r="C137" s="6" t="s">
        <v>104</v>
      </c>
      <c r="D137" s="7">
        <v>9.4700000000000006</v>
      </c>
      <c r="E137" s="8">
        <v>150.80000000000001</v>
      </c>
    </row>
    <row r="138" spans="1:5">
      <c r="A138" s="2" t="s">
        <v>230</v>
      </c>
      <c r="B138" s="6">
        <v>450051</v>
      </c>
      <c r="C138" s="2" t="s">
        <v>104</v>
      </c>
      <c r="D138" s="7">
        <v>0.17</v>
      </c>
      <c r="E138" s="8">
        <v>2.25</v>
      </c>
    </row>
    <row r="139" spans="1:5">
      <c r="A139" s="2" t="s">
        <v>246</v>
      </c>
      <c r="B139" s="6">
        <v>450051</v>
      </c>
      <c r="C139" s="2" t="s">
        <v>104</v>
      </c>
      <c r="D139" s="7">
        <v>0.72</v>
      </c>
      <c r="E139" s="8">
        <v>9.68</v>
      </c>
    </row>
    <row r="140" spans="1:5">
      <c r="A140" s="2" t="s">
        <v>122</v>
      </c>
      <c r="B140" s="6">
        <v>450051</v>
      </c>
      <c r="C140" s="2" t="s">
        <v>104</v>
      </c>
      <c r="D140" s="7">
        <v>7.53</v>
      </c>
      <c r="E140" s="8">
        <v>105.54</v>
      </c>
    </row>
    <row r="141" spans="1:5">
      <c r="A141" s="6" t="s">
        <v>247</v>
      </c>
      <c r="B141" s="6">
        <v>450051</v>
      </c>
      <c r="C141" s="6" t="s">
        <v>104</v>
      </c>
      <c r="D141" s="7">
        <v>1.8</v>
      </c>
      <c r="E141" s="8">
        <v>24.3</v>
      </c>
    </row>
    <row r="142" spans="1:5">
      <c r="A142" s="6" t="s">
        <v>248</v>
      </c>
      <c r="B142" s="6">
        <v>450051</v>
      </c>
      <c r="C142" s="6" t="s">
        <v>104</v>
      </c>
      <c r="D142" s="7">
        <v>2.2000000000000002</v>
      </c>
      <c r="E142" s="8">
        <v>29.7</v>
      </c>
    </row>
    <row r="143" spans="1:5">
      <c r="A143" s="6" t="s">
        <v>111</v>
      </c>
      <c r="B143" s="6">
        <v>450051</v>
      </c>
      <c r="C143" s="6" t="s">
        <v>104</v>
      </c>
      <c r="D143" s="7">
        <v>5.85</v>
      </c>
      <c r="E143" s="8">
        <v>87.75</v>
      </c>
    </row>
    <row r="144" spans="1:5">
      <c r="A144" s="6" t="s">
        <v>106</v>
      </c>
      <c r="B144" s="6">
        <v>450051</v>
      </c>
      <c r="C144" s="6" t="s">
        <v>104</v>
      </c>
      <c r="D144" s="7">
        <v>7.33</v>
      </c>
      <c r="E144" s="8">
        <v>121</v>
      </c>
    </row>
    <row r="145" spans="1:5">
      <c r="A145" s="6" t="s">
        <v>120</v>
      </c>
      <c r="B145" s="6">
        <v>450051</v>
      </c>
      <c r="C145" s="6" t="s">
        <v>104</v>
      </c>
      <c r="D145" s="7">
        <v>7.4</v>
      </c>
      <c r="E145" s="8">
        <v>128.09</v>
      </c>
    </row>
    <row r="146" spans="1:5">
      <c r="A146" s="6" t="s">
        <v>110</v>
      </c>
      <c r="B146" s="6">
        <v>450051</v>
      </c>
      <c r="C146" s="6" t="s">
        <v>104</v>
      </c>
      <c r="D146" s="7">
        <v>7.5</v>
      </c>
      <c r="E146" s="8">
        <v>124.09</v>
      </c>
    </row>
    <row r="147" spans="1:5">
      <c r="A147" s="6" t="s">
        <v>191</v>
      </c>
      <c r="B147" s="6">
        <v>450051</v>
      </c>
      <c r="C147" s="6" t="s">
        <v>104</v>
      </c>
      <c r="D147" s="7">
        <v>2.2200000000000002</v>
      </c>
      <c r="E147" s="8">
        <v>34.08</v>
      </c>
    </row>
    <row r="148" spans="1:5">
      <c r="A148" s="6" t="s">
        <v>112</v>
      </c>
      <c r="B148" s="6">
        <v>450051</v>
      </c>
      <c r="C148" s="6" t="s">
        <v>104</v>
      </c>
      <c r="D148" s="7">
        <v>2.25</v>
      </c>
      <c r="E148" s="8">
        <v>37.130000000000003</v>
      </c>
    </row>
    <row r="149" spans="1:5">
      <c r="A149" s="6" t="s">
        <v>116</v>
      </c>
      <c r="B149" s="6">
        <v>450051</v>
      </c>
      <c r="C149" s="6" t="s">
        <v>104</v>
      </c>
      <c r="D149" s="7">
        <v>6.82</v>
      </c>
      <c r="E149" s="8">
        <v>102.25</v>
      </c>
    </row>
    <row r="150" spans="1:5">
      <c r="A150" s="6" t="s">
        <v>118</v>
      </c>
      <c r="B150" s="6" t="s">
        <v>189</v>
      </c>
      <c r="C150" s="6" t="s">
        <v>104</v>
      </c>
      <c r="D150" s="7">
        <v>8.1</v>
      </c>
      <c r="E150" s="8">
        <v>182.25</v>
      </c>
    </row>
    <row r="151" spans="1:5">
      <c r="A151" s="6" t="s">
        <v>124</v>
      </c>
      <c r="B151" s="6" t="s">
        <v>189</v>
      </c>
      <c r="C151" s="6" t="s">
        <v>104</v>
      </c>
      <c r="D151" s="7">
        <v>2.5299999999999998</v>
      </c>
      <c r="E151" s="8">
        <v>57</v>
      </c>
    </row>
    <row r="152" spans="1:5">
      <c r="A152" s="6" t="s">
        <v>227</v>
      </c>
      <c r="B152" s="6">
        <v>450051</v>
      </c>
      <c r="C152" s="6" t="s">
        <v>104</v>
      </c>
      <c r="D152" s="7">
        <v>4.75</v>
      </c>
      <c r="E152" s="8">
        <v>67.69</v>
      </c>
    </row>
    <row r="153" spans="1:5">
      <c r="A153" s="6" t="s">
        <v>231</v>
      </c>
      <c r="B153" s="6">
        <v>450051</v>
      </c>
      <c r="C153" s="6" t="s">
        <v>104</v>
      </c>
      <c r="D153" s="7">
        <v>2.9</v>
      </c>
      <c r="E153" s="8">
        <v>39.15</v>
      </c>
    </row>
    <row r="154" spans="1:5">
      <c r="A154" s="6" t="s">
        <v>232</v>
      </c>
      <c r="B154" s="6">
        <v>450051</v>
      </c>
      <c r="C154" s="6" t="s">
        <v>104</v>
      </c>
      <c r="D154" s="7">
        <v>3.48</v>
      </c>
      <c r="E154" s="8">
        <v>47.03</v>
      </c>
    </row>
    <row r="155" spans="1:5">
      <c r="A155" s="6" t="s">
        <v>233</v>
      </c>
      <c r="B155" s="6">
        <v>450051</v>
      </c>
      <c r="C155" s="6" t="s">
        <v>104</v>
      </c>
      <c r="D155" s="7">
        <v>4.3499999999999996</v>
      </c>
      <c r="E155" s="8">
        <v>58.73</v>
      </c>
    </row>
    <row r="156" spans="1:5">
      <c r="A156" s="6" t="s">
        <v>105</v>
      </c>
      <c r="B156" s="6">
        <v>450051</v>
      </c>
      <c r="C156" s="6" t="s">
        <v>104</v>
      </c>
      <c r="D156" s="7">
        <v>0.42</v>
      </c>
      <c r="E156" s="8">
        <v>6.79</v>
      </c>
    </row>
    <row r="157" spans="1:5">
      <c r="A157" s="6" t="s">
        <v>234</v>
      </c>
      <c r="B157" s="6">
        <v>450051</v>
      </c>
      <c r="C157" s="6" t="s">
        <v>104</v>
      </c>
      <c r="D157" s="7">
        <v>2.62</v>
      </c>
      <c r="E157" s="8">
        <v>35.33</v>
      </c>
    </row>
    <row r="158" spans="1:5">
      <c r="A158" s="204" t="s">
        <v>7</v>
      </c>
      <c r="B158" s="6"/>
      <c r="C158" s="6"/>
      <c r="D158" s="207">
        <f>SUM(D132:D157)</f>
        <v>101.99000000000001</v>
      </c>
      <c r="E158" s="206">
        <f>SUM(E132:E157)</f>
        <v>1634.5600000000002</v>
      </c>
    </row>
    <row r="159" spans="1:5">
      <c r="A159" s="204"/>
      <c r="B159" s="6"/>
      <c r="C159" s="6"/>
      <c r="D159" s="207"/>
      <c r="E159" s="206"/>
    </row>
    <row r="160" spans="1:5">
      <c r="D160" s="4"/>
      <c r="E160" s="5"/>
    </row>
    <row r="161" spans="1:5">
      <c r="A161" s="1" t="s">
        <v>194</v>
      </c>
      <c r="D161" s="207">
        <f>D158+D130+D126+D123+D120+D117+D113+D110+D104+D101+D98+D90+D87+D84+D80+D74+D71+D68+D64+D61+D56+D52+D28+D23+D19+D15+D11+D8</f>
        <v>861.39999999999986</v>
      </c>
      <c r="E161" s="207">
        <f>E158+E130+E126+E123+E120+E117+E113+E110+E104+E101+E98+E90+E87+E84+E80+E74+E71+E68+E64+E61+E56+E52+E28+E23+E19+E15+E11+E8</f>
        <v>17546.690000000002</v>
      </c>
    </row>
  </sheetData>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30"/>
  <sheetViews>
    <sheetView workbookViewId="0">
      <pane ySplit="1" topLeftCell="A107" activePane="bottomLeft" state="frozenSplit"/>
      <selection pane="bottomLeft" activeCell="E14" sqref="E14"/>
    </sheetView>
  </sheetViews>
  <sheetFormatPr defaultRowHeight="12.75"/>
  <cols>
    <col min="1" max="1" width="31.7109375" customWidth="1"/>
    <col min="2" max="2" width="22.7109375" customWidth="1"/>
    <col min="3" max="3" width="36.7109375" customWidth="1"/>
    <col min="4" max="4" width="22.7109375" customWidth="1"/>
    <col min="5" max="5" width="25.7109375" customWidth="1"/>
  </cols>
  <sheetData>
    <row r="1" spans="1:5">
      <c r="A1" s="1" t="s">
        <v>147</v>
      </c>
      <c r="B1" s="1" t="s">
        <v>148</v>
      </c>
      <c r="C1" s="1" t="s">
        <v>149</v>
      </c>
      <c r="D1" s="1" t="s">
        <v>150</v>
      </c>
      <c r="E1" s="1" t="s">
        <v>151</v>
      </c>
    </row>
    <row r="2" spans="1:5">
      <c r="A2" s="6" t="s">
        <v>20</v>
      </c>
      <c r="B2" s="6" t="s">
        <v>152</v>
      </c>
      <c r="C2" s="6" t="s">
        <v>15</v>
      </c>
      <c r="D2" s="7">
        <v>0.83</v>
      </c>
      <c r="E2" s="8">
        <v>21.25</v>
      </c>
    </row>
    <row r="3" spans="1:5">
      <c r="A3" s="6" t="s">
        <v>18</v>
      </c>
      <c r="B3" s="6" t="s">
        <v>152</v>
      </c>
      <c r="C3" s="6" t="s">
        <v>15</v>
      </c>
      <c r="D3" s="7">
        <v>1.38</v>
      </c>
      <c r="E3" s="8">
        <v>38.51</v>
      </c>
    </row>
    <row r="4" spans="1:5">
      <c r="A4" s="2" t="s">
        <v>19</v>
      </c>
      <c r="B4" s="3" t="s">
        <v>152</v>
      </c>
      <c r="C4" s="2" t="s">
        <v>15</v>
      </c>
      <c r="D4" s="7">
        <v>2.95</v>
      </c>
      <c r="E4" s="8">
        <v>88.06</v>
      </c>
    </row>
    <row r="5" spans="1:5">
      <c r="A5" s="6" t="s">
        <v>21</v>
      </c>
      <c r="B5" s="6" t="s">
        <v>152</v>
      </c>
      <c r="C5" s="6" t="s">
        <v>15</v>
      </c>
      <c r="D5" s="7">
        <v>3.35</v>
      </c>
      <c r="E5" s="8">
        <v>104.57</v>
      </c>
    </row>
    <row r="6" spans="1:5">
      <c r="A6" s="6" t="s">
        <v>16</v>
      </c>
      <c r="B6" s="210" t="s">
        <v>152</v>
      </c>
      <c r="C6" s="6" t="s">
        <v>15</v>
      </c>
      <c r="D6" s="7">
        <v>3.73</v>
      </c>
      <c r="E6" s="8">
        <v>93.74</v>
      </c>
    </row>
    <row r="7" spans="1:5">
      <c r="A7" s="204" t="s">
        <v>7</v>
      </c>
      <c r="B7" s="6"/>
      <c r="C7" s="6"/>
      <c r="D7" s="205">
        <f>SUM(D2:D6)</f>
        <v>12.24</v>
      </c>
      <c r="E7" s="206">
        <f>SUM(E2:E6)</f>
        <v>346.13</v>
      </c>
    </row>
    <row r="8" spans="1:5">
      <c r="A8" s="6"/>
      <c r="B8" s="6"/>
      <c r="C8" s="6"/>
      <c r="D8" s="7"/>
      <c r="E8" s="8"/>
    </row>
    <row r="9" spans="1:5">
      <c r="A9" s="2" t="s">
        <v>28</v>
      </c>
      <c r="B9" s="3" t="s">
        <v>217</v>
      </c>
      <c r="C9" s="2" t="s">
        <v>218</v>
      </c>
      <c r="D9" s="7">
        <v>2.72</v>
      </c>
      <c r="E9" s="8">
        <v>75.39</v>
      </c>
    </row>
    <row r="10" spans="1:5">
      <c r="A10" s="204" t="s">
        <v>7</v>
      </c>
      <c r="B10" s="6"/>
      <c r="C10" s="6"/>
      <c r="D10" s="207">
        <v>2.72</v>
      </c>
      <c r="E10" s="206">
        <v>75.39</v>
      </c>
    </row>
    <row r="11" spans="1:5">
      <c r="A11" s="6"/>
      <c r="B11" s="6"/>
      <c r="C11" s="6"/>
      <c r="D11" s="7"/>
      <c r="E11" s="8"/>
    </row>
    <row r="12" spans="1:5">
      <c r="A12" s="6" t="s">
        <v>30</v>
      </c>
      <c r="B12" s="6" t="s">
        <v>155</v>
      </c>
      <c r="C12" s="6" t="s">
        <v>31</v>
      </c>
      <c r="D12" s="7">
        <v>0.13</v>
      </c>
      <c r="E12" s="8">
        <v>3.4</v>
      </c>
    </row>
    <row r="13" spans="1:5">
      <c r="A13" s="6" t="s">
        <v>195</v>
      </c>
      <c r="B13" s="210" t="s">
        <v>155</v>
      </c>
      <c r="C13" s="6" t="s">
        <v>196</v>
      </c>
      <c r="D13" s="7">
        <v>2.17</v>
      </c>
      <c r="E13" s="8">
        <v>65</v>
      </c>
    </row>
    <row r="14" spans="1:5">
      <c r="A14" s="204" t="s">
        <v>7</v>
      </c>
      <c r="B14" s="6"/>
      <c r="C14" s="6"/>
      <c r="D14" s="207">
        <f>SUM(D12:D13)</f>
        <v>2.2999999999999998</v>
      </c>
      <c r="E14" s="206">
        <f>SUM(E12:E13)</f>
        <v>68.400000000000006</v>
      </c>
    </row>
    <row r="15" spans="1:5">
      <c r="A15" s="204"/>
      <c r="B15" s="6"/>
      <c r="C15" s="6"/>
      <c r="D15" s="207"/>
      <c r="E15" s="206"/>
    </row>
    <row r="16" spans="1:5">
      <c r="A16" s="6" t="s">
        <v>249</v>
      </c>
      <c r="B16" s="3" t="s">
        <v>198</v>
      </c>
      <c r="C16" s="2" t="s">
        <v>199</v>
      </c>
      <c r="D16" s="7">
        <v>1</v>
      </c>
      <c r="E16" s="8">
        <f>12.95+8.05</f>
        <v>21</v>
      </c>
    </row>
    <row r="17" spans="1:5">
      <c r="A17" s="6" t="s">
        <v>219</v>
      </c>
      <c r="B17" s="210" t="s">
        <v>198</v>
      </c>
      <c r="C17" s="6" t="s">
        <v>199</v>
      </c>
      <c r="D17" s="7">
        <v>2.0499999999999998</v>
      </c>
      <c r="E17" s="8">
        <v>70.819999999999993</v>
      </c>
    </row>
    <row r="18" spans="1:5">
      <c r="A18" s="6" t="s">
        <v>38</v>
      </c>
      <c r="B18" s="210" t="s">
        <v>198</v>
      </c>
      <c r="C18" s="6" t="s">
        <v>199</v>
      </c>
      <c r="D18" s="7">
        <v>23.92</v>
      </c>
      <c r="E18" s="8">
        <v>556.05999999999995</v>
      </c>
    </row>
    <row r="19" spans="1:5">
      <c r="A19" s="204" t="s">
        <v>7</v>
      </c>
      <c r="B19" s="6"/>
      <c r="C19" s="6"/>
      <c r="D19" s="207">
        <f>SUM(D16:D18)</f>
        <v>26.970000000000002</v>
      </c>
      <c r="E19" s="206">
        <f>SUM(E16:E18)</f>
        <v>647.87999999999988</v>
      </c>
    </row>
    <row r="20" spans="1:5">
      <c r="A20" s="6"/>
      <c r="B20" s="6"/>
      <c r="C20" s="6"/>
      <c r="D20" s="7"/>
      <c r="E20" s="8"/>
    </row>
    <row r="21" spans="1:5">
      <c r="A21" s="6" t="s">
        <v>14</v>
      </c>
      <c r="B21" s="6" t="s">
        <v>156</v>
      </c>
      <c r="C21" s="6" t="s">
        <v>91</v>
      </c>
      <c r="D21" s="7">
        <v>8.02</v>
      </c>
      <c r="E21" s="8">
        <v>204.43</v>
      </c>
    </row>
    <row r="22" spans="1:5">
      <c r="A22" s="6" t="s">
        <v>94</v>
      </c>
      <c r="B22" s="6" t="s">
        <v>156</v>
      </c>
      <c r="C22" s="6" t="s">
        <v>91</v>
      </c>
      <c r="D22" s="7">
        <v>1.97</v>
      </c>
      <c r="E22" s="8">
        <v>54.58</v>
      </c>
    </row>
    <row r="23" spans="1:5">
      <c r="A23" s="204" t="s">
        <v>7</v>
      </c>
      <c r="B23" s="6"/>
      <c r="C23" s="6"/>
      <c r="D23" s="207">
        <f>SUM(D21:D22)</f>
        <v>9.99</v>
      </c>
      <c r="E23" s="206">
        <f>SUM(E21:E22)</f>
        <v>259.01</v>
      </c>
    </row>
    <row r="24" spans="1:5">
      <c r="A24" s="6"/>
      <c r="B24" s="6"/>
      <c r="C24" s="6"/>
      <c r="D24" s="7"/>
      <c r="E24" s="8"/>
    </row>
    <row r="25" spans="1:5">
      <c r="A25" s="6" t="s">
        <v>83</v>
      </c>
      <c r="B25" s="6" t="s">
        <v>157</v>
      </c>
      <c r="C25" s="6" t="s">
        <v>66</v>
      </c>
      <c r="D25" s="7">
        <v>2.2999999999999998</v>
      </c>
      <c r="E25" s="8">
        <v>43.13</v>
      </c>
    </row>
    <row r="26" spans="1:5">
      <c r="A26" s="2" t="s">
        <v>235</v>
      </c>
      <c r="B26" s="3" t="s">
        <v>157</v>
      </c>
      <c r="C26" s="2" t="s">
        <v>66</v>
      </c>
      <c r="D26" s="7">
        <v>1.88</v>
      </c>
      <c r="E26" s="8">
        <v>35.31</v>
      </c>
    </row>
    <row r="27" spans="1:5">
      <c r="A27" s="2" t="s">
        <v>228</v>
      </c>
      <c r="B27" s="3" t="s">
        <v>157</v>
      </c>
      <c r="C27" s="2" t="s">
        <v>66</v>
      </c>
      <c r="D27" s="7">
        <v>1.07</v>
      </c>
      <c r="E27" s="8">
        <v>20</v>
      </c>
    </row>
    <row r="28" spans="1:5">
      <c r="A28" s="6" t="s">
        <v>75</v>
      </c>
      <c r="B28" s="6" t="s">
        <v>157</v>
      </c>
      <c r="C28" s="6" t="s">
        <v>66</v>
      </c>
      <c r="D28" s="7">
        <v>0.1</v>
      </c>
      <c r="E28" s="8">
        <v>1.8</v>
      </c>
    </row>
    <row r="29" spans="1:5">
      <c r="A29" s="2" t="s">
        <v>210</v>
      </c>
      <c r="B29" s="3" t="s">
        <v>157</v>
      </c>
      <c r="C29" s="2" t="s">
        <v>66</v>
      </c>
      <c r="D29" s="7">
        <v>18.53</v>
      </c>
      <c r="E29" s="8">
        <v>333.6</v>
      </c>
    </row>
    <row r="30" spans="1:5">
      <c r="A30" s="6" t="s">
        <v>74</v>
      </c>
      <c r="B30" s="6" t="s">
        <v>157</v>
      </c>
      <c r="C30" s="6" t="s">
        <v>66</v>
      </c>
      <c r="D30" s="7">
        <v>10.199999999999999</v>
      </c>
      <c r="E30" s="8">
        <v>198.9</v>
      </c>
    </row>
    <row r="31" spans="1:5">
      <c r="A31" s="6" t="s">
        <v>89</v>
      </c>
      <c r="B31" s="6" t="s">
        <v>157</v>
      </c>
      <c r="C31" s="6" t="s">
        <v>66</v>
      </c>
      <c r="D31" s="7">
        <v>6.12</v>
      </c>
      <c r="E31" s="8">
        <v>110.1</v>
      </c>
    </row>
    <row r="32" spans="1:5">
      <c r="A32" s="6" t="s">
        <v>86</v>
      </c>
      <c r="B32" s="6" t="s">
        <v>157</v>
      </c>
      <c r="C32" s="6" t="s">
        <v>66</v>
      </c>
      <c r="D32" s="7">
        <v>1.75</v>
      </c>
      <c r="E32" s="8">
        <v>38.06</v>
      </c>
    </row>
    <row r="33" spans="1:5">
      <c r="A33" s="6" t="s">
        <v>84</v>
      </c>
      <c r="B33" s="6" t="s">
        <v>157</v>
      </c>
      <c r="C33" s="6" t="s">
        <v>66</v>
      </c>
      <c r="D33" s="7">
        <v>0.83</v>
      </c>
      <c r="E33" s="8">
        <v>15.38</v>
      </c>
    </row>
    <row r="34" spans="1:5">
      <c r="A34" s="6" t="s">
        <v>201</v>
      </c>
      <c r="B34" s="210" t="s">
        <v>157</v>
      </c>
      <c r="C34" s="6" t="s">
        <v>66</v>
      </c>
      <c r="D34" s="7">
        <v>32.68</v>
      </c>
      <c r="E34" s="8">
        <v>588.29999999999995</v>
      </c>
    </row>
    <row r="35" spans="1:5">
      <c r="A35" s="6" t="s">
        <v>250</v>
      </c>
      <c r="B35" s="210" t="s">
        <v>157</v>
      </c>
      <c r="C35" s="6" t="s">
        <v>66</v>
      </c>
      <c r="D35" s="7">
        <v>21.5</v>
      </c>
      <c r="E35" s="8">
        <v>370.5</v>
      </c>
    </row>
    <row r="36" spans="1:5">
      <c r="A36" s="6" t="s">
        <v>85</v>
      </c>
      <c r="B36" s="6" t="s">
        <v>157</v>
      </c>
      <c r="C36" s="6" t="s">
        <v>66</v>
      </c>
      <c r="D36" s="7">
        <v>8.4</v>
      </c>
      <c r="E36" s="8">
        <v>195.05</v>
      </c>
    </row>
    <row r="37" spans="1:5">
      <c r="A37" s="6" t="s">
        <v>159</v>
      </c>
      <c r="B37" s="6" t="s">
        <v>157</v>
      </c>
      <c r="C37" s="6" t="s">
        <v>66</v>
      </c>
      <c r="D37" s="7">
        <v>27.87</v>
      </c>
      <c r="E37" s="8">
        <v>543.4</v>
      </c>
    </row>
    <row r="38" spans="1:5">
      <c r="A38" s="6" t="s">
        <v>88</v>
      </c>
      <c r="B38" s="6" t="s">
        <v>157</v>
      </c>
      <c r="C38" s="6" t="s">
        <v>66</v>
      </c>
      <c r="D38" s="7">
        <v>49.97</v>
      </c>
      <c r="E38" s="8">
        <v>899.4</v>
      </c>
    </row>
    <row r="39" spans="1:5">
      <c r="A39" s="6" t="s">
        <v>35</v>
      </c>
      <c r="B39" s="6" t="s">
        <v>157</v>
      </c>
      <c r="C39" s="6" t="s">
        <v>66</v>
      </c>
      <c r="D39" s="7">
        <v>44.22</v>
      </c>
      <c r="E39" s="8">
        <v>972.32</v>
      </c>
    </row>
    <row r="40" spans="1:5">
      <c r="A40" s="6" t="s">
        <v>251</v>
      </c>
      <c r="B40" s="210" t="s">
        <v>157</v>
      </c>
      <c r="C40" s="6" t="s">
        <v>66</v>
      </c>
      <c r="D40" s="7">
        <v>0.9</v>
      </c>
      <c r="E40" s="8">
        <v>17.55</v>
      </c>
    </row>
    <row r="41" spans="1:5">
      <c r="A41" s="6" t="s">
        <v>79</v>
      </c>
      <c r="B41" s="6" t="s">
        <v>157</v>
      </c>
      <c r="C41" s="6" t="s">
        <v>66</v>
      </c>
      <c r="D41" s="7">
        <v>2.95</v>
      </c>
      <c r="E41" s="8">
        <v>68.59</v>
      </c>
    </row>
    <row r="42" spans="1:5">
      <c r="A42" s="6" t="s">
        <v>238</v>
      </c>
      <c r="B42" s="210" t="s">
        <v>157</v>
      </c>
      <c r="C42" s="6" t="s">
        <v>66</v>
      </c>
      <c r="D42" s="7">
        <v>3.13</v>
      </c>
      <c r="E42" s="8">
        <v>61.1</v>
      </c>
    </row>
    <row r="43" spans="1:5">
      <c r="A43" s="204" t="s">
        <v>7</v>
      </c>
      <c r="B43" s="6"/>
      <c r="C43" s="6"/>
      <c r="D43" s="207">
        <f>SUM(D25:D42)</f>
        <v>234.39999999999998</v>
      </c>
      <c r="E43" s="206">
        <f>SUM(E25:E42)</f>
        <v>4512.4900000000007</v>
      </c>
    </row>
    <row r="44" spans="1:5">
      <c r="A44" s="6"/>
      <c r="B44" s="6"/>
      <c r="C44" s="6"/>
      <c r="D44" s="7"/>
      <c r="E44" s="8"/>
    </row>
    <row r="45" spans="1:5">
      <c r="A45" s="2" t="s">
        <v>52</v>
      </c>
      <c r="B45" s="3" t="s">
        <v>162</v>
      </c>
      <c r="C45" s="2" t="s">
        <v>51</v>
      </c>
      <c r="D45" s="7">
        <v>3.68</v>
      </c>
      <c r="E45" s="8">
        <v>80.11</v>
      </c>
    </row>
    <row r="46" spans="1:5">
      <c r="A46" s="6" t="s">
        <v>163</v>
      </c>
      <c r="B46" s="6" t="s">
        <v>162</v>
      </c>
      <c r="C46" s="6" t="s">
        <v>51</v>
      </c>
      <c r="D46" s="7">
        <f>33.65+28.33</f>
        <v>61.98</v>
      </c>
      <c r="E46" s="8">
        <f>807.6+680</f>
        <v>1487.6</v>
      </c>
    </row>
    <row r="47" spans="1:5">
      <c r="A47" s="204" t="s">
        <v>7</v>
      </c>
      <c r="B47" s="6"/>
      <c r="C47" s="6"/>
      <c r="D47" s="207">
        <f>SUM(D45:D46)</f>
        <v>65.66</v>
      </c>
      <c r="E47" s="206">
        <f>SUM(E45:E46)</f>
        <v>1567.7099999999998</v>
      </c>
    </row>
    <row r="48" spans="1:5">
      <c r="A48" s="6"/>
      <c r="B48" s="6"/>
      <c r="C48" s="6"/>
      <c r="D48" s="7"/>
      <c r="E48" s="8"/>
    </row>
    <row r="49" spans="1:5">
      <c r="A49" s="2" t="s">
        <v>203</v>
      </c>
      <c r="B49" s="3" t="s">
        <v>164</v>
      </c>
      <c r="C49" s="2" t="s">
        <v>60</v>
      </c>
      <c r="D49" s="7">
        <v>2.3199999999999998</v>
      </c>
      <c r="E49" s="8">
        <v>43.44</v>
      </c>
    </row>
    <row r="50" spans="1:5">
      <c r="A50" s="6" t="s">
        <v>63</v>
      </c>
      <c r="B50" s="6" t="s">
        <v>164</v>
      </c>
      <c r="C50" s="6" t="s">
        <v>60</v>
      </c>
      <c r="D50" s="7">
        <v>0.3</v>
      </c>
      <c r="E50" s="8">
        <v>5.18</v>
      </c>
    </row>
    <row r="51" spans="1:5">
      <c r="A51" s="6" t="s">
        <v>64</v>
      </c>
      <c r="B51" s="6" t="s">
        <v>164</v>
      </c>
      <c r="C51" s="6" t="s">
        <v>60</v>
      </c>
      <c r="D51" s="7">
        <v>1.35</v>
      </c>
      <c r="E51" s="8">
        <v>23.29</v>
      </c>
    </row>
    <row r="52" spans="1:5">
      <c r="A52" s="204" t="s">
        <v>7</v>
      </c>
      <c r="B52" s="6"/>
      <c r="C52" s="6"/>
      <c r="D52" s="207">
        <f>SUM(D49:D51)</f>
        <v>3.9699999999999998</v>
      </c>
      <c r="E52" s="206">
        <f>SUM(E49:E51)</f>
        <v>71.91</v>
      </c>
    </row>
    <row r="53" spans="1:5">
      <c r="A53" s="204"/>
      <c r="B53" s="6"/>
      <c r="C53" s="6"/>
      <c r="D53" s="207"/>
      <c r="E53" s="206"/>
    </row>
    <row r="54" spans="1:5">
      <c r="A54" s="6" t="s">
        <v>252</v>
      </c>
      <c r="B54" s="210" t="s">
        <v>165</v>
      </c>
      <c r="C54" s="6" t="s">
        <v>45</v>
      </c>
      <c r="D54" s="7">
        <v>0.17</v>
      </c>
      <c r="E54" s="8">
        <v>3.5</v>
      </c>
    </row>
    <row r="55" spans="1:5">
      <c r="A55" s="6" t="s">
        <v>202</v>
      </c>
      <c r="B55" s="210" t="s">
        <v>165</v>
      </c>
      <c r="C55" s="6" t="s">
        <v>45</v>
      </c>
      <c r="D55" s="7">
        <v>0.18</v>
      </c>
      <c r="E55" s="8">
        <v>3.58</v>
      </c>
    </row>
    <row r="56" spans="1:5">
      <c r="A56" s="6" t="s">
        <v>221</v>
      </c>
      <c r="B56" s="210" t="s">
        <v>165</v>
      </c>
      <c r="C56" s="6" t="s">
        <v>45</v>
      </c>
      <c r="D56" s="7">
        <v>11.95</v>
      </c>
      <c r="E56" s="8">
        <v>224.06</v>
      </c>
    </row>
    <row r="57" spans="1:5">
      <c r="A57" s="204" t="s">
        <v>7</v>
      </c>
      <c r="B57" s="6"/>
      <c r="C57" s="6"/>
      <c r="D57" s="207">
        <f>SUM(D54:D56)</f>
        <v>12.299999999999999</v>
      </c>
      <c r="E57" s="206">
        <f>SUM(E54:E56)</f>
        <v>231.14000000000001</v>
      </c>
    </row>
    <row r="58" spans="1:5">
      <c r="A58" s="2"/>
      <c r="B58" s="3"/>
      <c r="C58" s="2"/>
      <c r="D58" s="7"/>
      <c r="E58" s="8"/>
    </row>
    <row r="59" spans="1:5">
      <c r="A59" s="2" t="s">
        <v>166</v>
      </c>
      <c r="B59" s="3" t="s">
        <v>167</v>
      </c>
      <c r="C59" s="2" t="s">
        <v>54</v>
      </c>
      <c r="D59" s="7">
        <v>4.05</v>
      </c>
      <c r="E59" s="8">
        <v>91.13</v>
      </c>
    </row>
    <row r="60" spans="1:5">
      <c r="A60" s="6" t="s">
        <v>253</v>
      </c>
      <c r="B60" s="210" t="s">
        <v>167</v>
      </c>
      <c r="C60" s="6" t="s">
        <v>54</v>
      </c>
      <c r="D60" s="7">
        <v>2.57</v>
      </c>
      <c r="E60" s="8">
        <v>44.8</v>
      </c>
    </row>
    <row r="61" spans="1:5">
      <c r="A61" s="6" t="s">
        <v>254</v>
      </c>
      <c r="B61" s="210" t="s">
        <v>167</v>
      </c>
      <c r="C61" s="6" t="s">
        <v>54</v>
      </c>
      <c r="D61" s="7">
        <v>1.25</v>
      </c>
      <c r="E61" s="8">
        <v>26.25</v>
      </c>
    </row>
    <row r="62" spans="1:5">
      <c r="A62" s="6" t="s">
        <v>58</v>
      </c>
      <c r="B62" s="6" t="s">
        <v>167</v>
      </c>
      <c r="C62" s="6" t="s">
        <v>54</v>
      </c>
      <c r="D62" s="7">
        <v>1</v>
      </c>
      <c r="E62" s="8">
        <v>25.62</v>
      </c>
    </row>
    <row r="63" spans="1:5">
      <c r="A63" s="6" t="s">
        <v>57</v>
      </c>
      <c r="B63" s="6" t="s">
        <v>167</v>
      </c>
      <c r="C63" s="6" t="s">
        <v>54</v>
      </c>
      <c r="D63" s="7">
        <v>0.83</v>
      </c>
      <c r="E63" s="8">
        <v>18.13</v>
      </c>
    </row>
    <row r="64" spans="1:5">
      <c r="A64" s="204" t="s">
        <v>7</v>
      </c>
      <c r="B64" s="6"/>
      <c r="C64" s="6"/>
      <c r="D64" s="207">
        <f>SUM(D59:D63)</f>
        <v>9.6999999999999993</v>
      </c>
      <c r="E64" s="206">
        <f>SUM(E59:E63)</f>
        <v>205.93</v>
      </c>
    </row>
    <row r="65" spans="1:5">
      <c r="A65" s="204"/>
      <c r="B65" s="6"/>
      <c r="C65" s="6"/>
      <c r="D65" s="207"/>
      <c r="E65" s="206"/>
    </row>
    <row r="66" spans="1:5">
      <c r="A66" s="6" t="s">
        <v>42</v>
      </c>
      <c r="B66" s="210" t="s">
        <v>170</v>
      </c>
      <c r="C66" s="6" t="s">
        <v>43</v>
      </c>
      <c r="D66" s="7">
        <v>1.02</v>
      </c>
      <c r="E66" s="8">
        <v>30.12</v>
      </c>
    </row>
    <row r="67" spans="1:5">
      <c r="A67" s="204" t="s">
        <v>7</v>
      </c>
      <c r="B67" s="6"/>
      <c r="C67" s="6"/>
      <c r="D67" s="207">
        <f>SUM(D66)</f>
        <v>1.02</v>
      </c>
      <c r="E67" s="206">
        <f>SUM(E66)</f>
        <v>30.12</v>
      </c>
    </row>
    <row r="68" spans="1:5">
      <c r="A68" s="204"/>
      <c r="B68" s="6"/>
      <c r="C68" s="6"/>
      <c r="D68" s="207"/>
      <c r="E68" s="206"/>
    </row>
    <row r="69" spans="1:5">
      <c r="A69" s="6" t="s">
        <v>239</v>
      </c>
      <c r="B69" s="210" t="s">
        <v>240</v>
      </c>
      <c r="C69" s="6" t="s">
        <v>241</v>
      </c>
      <c r="D69" s="7">
        <v>0.27</v>
      </c>
      <c r="E69" s="8">
        <v>6.4</v>
      </c>
    </row>
    <row r="70" spans="1:5">
      <c r="A70" s="204" t="s">
        <v>7</v>
      </c>
      <c r="B70" s="6"/>
      <c r="C70" s="6"/>
      <c r="D70" s="207">
        <f>SUM(D69)</f>
        <v>0.27</v>
      </c>
      <c r="E70" s="206">
        <f>SUM(E69)</f>
        <v>6.4</v>
      </c>
    </row>
    <row r="71" spans="1:5">
      <c r="A71" s="6"/>
      <c r="B71" s="6"/>
      <c r="C71" s="6"/>
      <c r="D71" s="7"/>
      <c r="E71" s="8"/>
    </row>
    <row r="72" spans="1:5">
      <c r="A72" s="2" t="s">
        <v>229</v>
      </c>
      <c r="B72" s="6" t="s">
        <v>171</v>
      </c>
      <c r="C72" s="6" t="s">
        <v>25</v>
      </c>
      <c r="D72" s="7">
        <v>6.1</v>
      </c>
      <c r="E72" s="8">
        <v>160.13</v>
      </c>
    </row>
    <row r="73" spans="1:5">
      <c r="A73" s="6" t="s">
        <v>222</v>
      </c>
      <c r="B73" s="210" t="s">
        <v>171</v>
      </c>
      <c r="C73" s="6" t="s">
        <v>25</v>
      </c>
      <c r="D73" s="7">
        <v>7.63</v>
      </c>
      <c r="E73" s="8">
        <v>200.38</v>
      </c>
    </row>
    <row r="74" spans="1:5">
      <c r="A74" s="6" t="s">
        <v>26</v>
      </c>
      <c r="B74" s="6" t="s">
        <v>171</v>
      </c>
      <c r="C74" s="6" t="s">
        <v>25</v>
      </c>
      <c r="D74" s="7">
        <v>7.23</v>
      </c>
      <c r="E74" s="8">
        <v>195.3</v>
      </c>
    </row>
    <row r="75" spans="1:5">
      <c r="A75" s="6" t="s">
        <v>223</v>
      </c>
      <c r="B75" s="210" t="s">
        <v>171</v>
      </c>
      <c r="C75" s="6" t="s">
        <v>25</v>
      </c>
      <c r="D75" s="7">
        <v>0.7</v>
      </c>
      <c r="E75" s="8">
        <v>17.850000000000001</v>
      </c>
    </row>
    <row r="76" spans="1:5">
      <c r="A76" s="204" t="s">
        <v>7</v>
      </c>
      <c r="B76" s="6"/>
      <c r="C76" s="6"/>
      <c r="D76" s="207">
        <f>SUM(D72:D75)</f>
        <v>21.66</v>
      </c>
      <c r="E76" s="206">
        <f>SUM(E72:E75)</f>
        <v>573.66</v>
      </c>
    </row>
    <row r="77" spans="1:5">
      <c r="A77" s="6"/>
      <c r="B77" s="6"/>
      <c r="C77" s="6"/>
      <c r="D77" s="7"/>
      <c r="E77" s="8"/>
    </row>
    <row r="78" spans="1:5">
      <c r="A78" s="6" t="s">
        <v>11</v>
      </c>
      <c r="B78" s="6" t="s">
        <v>172</v>
      </c>
      <c r="C78" s="6" t="s">
        <v>12</v>
      </c>
      <c r="D78" s="7">
        <v>3.98</v>
      </c>
      <c r="E78" s="8">
        <v>132.35</v>
      </c>
    </row>
    <row r="79" spans="1:5">
      <c r="A79" s="6" t="s">
        <v>13</v>
      </c>
      <c r="B79" s="6" t="s">
        <v>172</v>
      </c>
      <c r="C79" s="6" t="s">
        <v>12</v>
      </c>
      <c r="D79" s="7">
        <v>17.93</v>
      </c>
      <c r="E79" s="8">
        <v>646.67999999999995</v>
      </c>
    </row>
    <row r="80" spans="1:5">
      <c r="A80" s="204" t="s">
        <v>7</v>
      </c>
      <c r="B80" s="6"/>
      <c r="C80" s="6"/>
      <c r="D80" s="207">
        <f>SUM(D78:D79)</f>
        <v>21.91</v>
      </c>
      <c r="E80" s="206">
        <f>SUM(E78:E79)</f>
        <v>779.03</v>
      </c>
    </row>
    <row r="81" spans="1:5">
      <c r="A81" s="204"/>
      <c r="B81" s="6"/>
      <c r="C81" s="6"/>
      <c r="D81" s="207"/>
      <c r="E81" s="206"/>
    </row>
    <row r="82" spans="1:5">
      <c r="A82" s="6" t="s">
        <v>242</v>
      </c>
      <c r="B82" s="3" t="s">
        <v>225</v>
      </c>
      <c r="C82" s="2" t="s">
        <v>243</v>
      </c>
      <c r="D82" s="7">
        <v>3.58</v>
      </c>
      <c r="E82" s="8">
        <v>116.26</v>
      </c>
    </row>
    <row r="83" spans="1:5">
      <c r="A83" s="204" t="s">
        <v>7</v>
      </c>
      <c r="B83" s="6"/>
      <c r="C83" s="6"/>
      <c r="D83" s="207">
        <v>3.58</v>
      </c>
      <c r="E83" s="206">
        <v>116.26</v>
      </c>
    </row>
    <row r="84" spans="1:5">
      <c r="A84" s="204"/>
      <c r="B84" s="6"/>
      <c r="C84" s="6"/>
      <c r="D84" s="207"/>
      <c r="E84" s="206"/>
    </row>
    <row r="85" spans="1:5">
      <c r="A85" s="6" t="s">
        <v>205</v>
      </c>
      <c r="B85" s="6">
        <v>100035</v>
      </c>
      <c r="C85" s="6" t="s">
        <v>206</v>
      </c>
      <c r="D85" s="7">
        <v>7.53</v>
      </c>
      <c r="E85" s="8">
        <v>217.3</v>
      </c>
    </row>
    <row r="86" spans="1:5">
      <c r="A86" s="204" t="s">
        <v>7</v>
      </c>
      <c r="B86" s="6"/>
      <c r="C86" s="6"/>
      <c r="D86" s="207">
        <f>SUM(D85)</f>
        <v>7.53</v>
      </c>
      <c r="E86" s="206">
        <f>SUM(E85)</f>
        <v>217.3</v>
      </c>
    </row>
    <row r="87" spans="1:5">
      <c r="A87" s="6"/>
      <c r="B87" s="6"/>
      <c r="C87" s="6"/>
      <c r="D87" s="7"/>
      <c r="E87" s="8"/>
    </row>
    <row r="88" spans="1:5">
      <c r="A88" s="2" t="s">
        <v>36</v>
      </c>
      <c r="B88" s="6">
        <v>100051</v>
      </c>
      <c r="C88" s="2" t="s">
        <v>34</v>
      </c>
      <c r="D88" s="7">
        <v>9</v>
      </c>
      <c r="E88" s="8">
        <v>189</v>
      </c>
    </row>
    <row r="89" spans="1:5">
      <c r="A89" s="6" t="s">
        <v>37</v>
      </c>
      <c r="B89" s="6">
        <v>100051</v>
      </c>
      <c r="C89" s="6" t="s">
        <v>34</v>
      </c>
      <c r="D89" s="7">
        <f>21.43+21.12</f>
        <v>42.55</v>
      </c>
      <c r="E89" s="8">
        <f>455.89+449.15</f>
        <v>905.04</v>
      </c>
    </row>
    <row r="90" spans="1:5">
      <c r="A90" s="6" t="s">
        <v>39</v>
      </c>
      <c r="B90" s="6" t="s">
        <v>174</v>
      </c>
      <c r="C90" s="6" t="s">
        <v>34</v>
      </c>
      <c r="D90" s="7">
        <f>2.58+1.8</f>
        <v>4.38</v>
      </c>
      <c r="E90" s="8">
        <f>57+39.72</f>
        <v>96.72</v>
      </c>
    </row>
    <row r="91" spans="1:5">
      <c r="A91" s="6" t="s">
        <v>41</v>
      </c>
      <c r="B91" s="6">
        <v>100051</v>
      </c>
      <c r="C91" s="2" t="s">
        <v>34</v>
      </c>
      <c r="D91" s="7">
        <f>0.98+1.88</f>
        <v>2.86</v>
      </c>
      <c r="E91" s="8">
        <f>23.23+44.49</f>
        <v>67.72</v>
      </c>
    </row>
    <row r="92" spans="1:5">
      <c r="A92" s="204" t="s">
        <v>7</v>
      </c>
      <c r="B92" s="6"/>
      <c r="C92" s="6"/>
      <c r="D92" s="207">
        <f>SUM(D88:D91)</f>
        <v>58.79</v>
      </c>
      <c r="E92" s="206">
        <f>SUM(E88:E91)</f>
        <v>1258.48</v>
      </c>
    </row>
    <row r="93" spans="1:5">
      <c r="A93" s="204"/>
      <c r="B93" s="6"/>
      <c r="C93" s="6"/>
      <c r="D93" s="207"/>
      <c r="E93" s="206"/>
    </row>
    <row r="94" spans="1:5">
      <c r="A94" s="6" t="s">
        <v>136</v>
      </c>
      <c r="B94" s="6" t="s">
        <v>177</v>
      </c>
      <c r="C94" s="6" t="s">
        <v>137</v>
      </c>
      <c r="D94" s="7">
        <v>0.83</v>
      </c>
      <c r="E94" s="8">
        <v>24.46</v>
      </c>
    </row>
    <row r="95" spans="1:5">
      <c r="A95" s="204" t="s">
        <v>7</v>
      </c>
      <c r="B95" s="6"/>
      <c r="C95" s="6"/>
      <c r="D95" s="207">
        <f>SUM(D94)</f>
        <v>0.83</v>
      </c>
      <c r="E95" s="206">
        <f>SUM(E94)</f>
        <v>24.46</v>
      </c>
    </row>
    <row r="96" spans="1:5">
      <c r="A96" s="6"/>
      <c r="B96" s="6"/>
      <c r="C96" s="6"/>
      <c r="D96" s="7"/>
      <c r="E96" s="8"/>
    </row>
    <row r="97" spans="1:5">
      <c r="A97" s="6" t="s">
        <v>145</v>
      </c>
      <c r="B97" s="6" t="s">
        <v>178</v>
      </c>
      <c r="C97" s="6" t="s">
        <v>146</v>
      </c>
      <c r="D97" s="7">
        <v>2.13</v>
      </c>
      <c r="E97" s="8">
        <v>61.54</v>
      </c>
    </row>
    <row r="98" spans="1:5">
      <c r="A98" s="204" t="s">
        <v>7</v>
      </c>
      <c r="B98" s="6"/>
      <c r="C98" s="6"/>
      <c r="D98" s="207">
        <f>SUM(D97)</f>
        <v>2.13</v>
      </c>
      <c r="E98" s="206">
        <f>SUM(E97)</f>
        <v>61.54</v>
      </c>
    </row>
    <row r="99" spans="1:5">
      <c r="A99" s="6"/>
      <c r="B99" s="6"/>
      <c r="C99" s="6"/>
      <c r="D99" s="7"/>
      <c r="E99" s="8"/>
    </row>
    <row r="100" spans="1:5">
      <c r="A100" s="6" t="s">
        <v>95</v>
      </c>
      <c r="B100" s="6" t="s">
        <v>180</v>
      </c>
      <c r="C100" s="6" t="s">
        <v>96</v>
      </c>
      <c r="D100" s="7">
        <v>15.53</v>
      </c>
      <c r="E100" s="8">
        <v>419.17</v>
      </c>
    </row>
    <row r="101" spans="1:5">
      <c r="A101" s="204" t="s">
        <v>7</v>
      </c>
      <c r="B101" s="6"/>
      <c r="C101" s="6"/>
      <c r="D101" s="207">
        <f>SUM(D100)</f>
        <v>15.53</v>
      </c>
      <c r="E101" s="206">
        <f>SUM(E100)</f>
        <v>419.17</v>
      </c>
    </row>
    <row r="102" spans="1:5">
      <c r="A102" s="6"/>
      <c r="B102" s="6"/>
      <c r="C102" s="6"/>
      <c r="D102" s="7"/>
      <c r="E102" s="8"/>
    </row>
    <row r="103" spans="1:5">
      <c r="A103" s="2" t="s">
        <v>244</v>
      </c>
      <c r="B103" s="6">
        <v>400020</v>
      </c>
      <c r="C103" s="2" t="s">
        <v>98</v>
      </c>
      <c r="D103" s="7">
        <v>4.8</v>
      </c>
      <c r="E103" s="8">
        <v>115.2</v>
      </c>
    </row>
    <row r="104" spans="1:5">
      <c r="A104" s="6" t="s">
        <v>97</v>
      </c>
      <c r="B104" s="6" t="s">
        <v>181</v>
      </c>
      <c r="C104" s="6" t="s">
        <v>98</v>
      </c>
      <c r="D104" s="7">
        <v>2.02</v>
      </c>
      <c r="E104" s="8">
        <v>59.93</v>
      </c>
    </row>
    <row r="105" spans="1:5">
      <c r="A105" s="204" t="s">
        <v>7</v>
      </c>
      <c r="B105" s="6"/>
      <c r="C105" s="6"/>
      <c r="D105" s="207">
        <f>SUM(D103:D104)</f>
        <v>6.82</v>
      </c>
      <c r="E105" s="206">
        <f>SUM(E103:E104)</f>
        <v>175.13</v>
      </c>
    </row>
    <row r="106" spans="1:5">
      <c r="A106" s="6"/>
      <c r="B106" s="6"/>
      <c r="C106" s="6"/>
      <c r="D106" s="7"/>
      <c r="E106" s="8"/>
    </row>
    <row r="107" spans="1:5">
      <c r="A107" s="6" t="s">
        <v>100</v>
      </c>
      <c r="B107" s="6" t="s">
        <v>182</v>
      </c>
      <c r="C107" s="6" t="s">
        <v>101</v>
      </c>
      <c r="D107" s="7">
        <v>1.97</v>
      </c>
      <c r="E107" s="8">
        <v>57.02</v>
      </c>
    </row>
    <row r="108" spans="1:5">
      <c r="A108" s="204" t="s">
        <v>7</v>
      </c>
      <c r="B108" s="6"/>
      <c r="C108" s="6"/>
      <c r="D108" s="207">
        <f>SUM(D107)</f>
        <v>1.97</v>
      </c>
      <c r="E108" s="206">
        <f>SUM(E107)</f>
        <v>57.02</v>
      </c>
    </row>
    <row r="109" spans="1:5">
      <c r="A109" s="204"/>
      <c r="B109" s="6"/>
      <c r="C109" s="6"/>
      <c r="D109" s="207"/>
      <c r="E109" s="206"/>
    </row>
    <row r="110" spans="1:5">
      <c r="A110" s="6" t="s">
        <v>245</v>
      </c>
      <c r="B110" s="6">
        <v>450044</v>
      </c>
      <c r="C110" s="6" t="s">
        <v>134</v>
      </c>
      <c r="D110" s="7">
        <f>1.23+0.9</f>
        <v>2.13</v>
      </c>
      <c r="E110" s="8">
        <f>25.9+18.9</f>
        <v>44.8</v>
      </c>
    </row>
    <row r="111" spans="1:5">
      <c r="A111" s="204" t="s">
        <v>7</v>
      </c>
      <c r="B111" s="6"/>
      <c r="C111" s="6"/>
      <c r="D111" s="207">
        <v>2.13</v>
      </c>
      <c r="E111" s="206">
        <v>44.8</v>
      </c>
    </row>
    <row r="112" spans="1:5">
      <c r="A112" s="6"/>
      <c r="B112" s="6"/>
      <c r="C112" s="6"/>
      <c r="D112" s="7"/>
      <c r="E112" s="8"/>
    </row>
    <row r="113" spans="1:5">
      <c r="A113" s="2" t="s">
        <v>123</v>
      </c>
      <c r="B113" s="6">
        <v>450045</v>
      </c>
      <c r="C113" s="2" t="s">
        <v>131</v>
      </c>
      <c r="D113" s="7">
        <v>0.62</v>
      </c>
      <c r="E113" s="8">
        <v>10.41</v>
      </c>
    </row>
    <row r="114" spans="1:5">
      <c r="A114" s="204" t="s">
        <v>7</v>
      </c>
      <c r="B114" s="6"/>
      <c r="C114" s="6"/>
      <c r="D114" s="207">
        <f>SUM(D113:D113)</f>
        <v>0.62</v>
      </c>
      <c r="E114" s="206">
        <f>SUM(E113:E113)</f>
        <v>10.41</v>
      </c>
    </row>
    <row r="115" spans="1:5">
      <c r="A115" s="6"/>
      <c r="B115" s="6"/>
      <c r="C115" s="6"/>
      <c r="D115" s="7"/>
      <c r="E115" s="8"/>
    </row>
    <row r="116" spans="1:5">
      <c r="A116" s="6" t="s">
        <v>121</v>
      </c>
      <c r="B116" s="6" t="s">
        <v>188</v>
      </c>
      <c r="C116" s="6" t="s">
        <v>129</v>
      </c>
      <c r="D116" s="7">
        <v>1.58</v>
      </c>
      <c r="E116" s="8">
        <v>37.119999999999997</v>
      </c>
    </row>
    <row r="117" spans="1:5">
      <c r="A117" s="204" t="s">
        <v>7</v>
      </c>
      <c r="B117" s="6"/>
      <c r="C117" s="6"/>
      <c r="D117" s="207">
        <f>SUM(D116:D116)</f>
        <v>1.58</v>
      </c>
      <c r="E117" s="206">
        <f>SUM(E116:E116)</f>
        <v>37.119999999999997</v>
      </c>
    </row>
    <row r="118" spans="1:5">
      <c r="A118" s="6"/>
      <c r="B118" s="6"/>
      <c r="C118" s="6"/>
      <c r="D118" s="7"/>
      <c r="E118" s="8"/>
    </row>
    <row r="119" spans="1:5">
      <c r="A119" s="2" t="s">
        <v>230</v>
      </c>
      <c r="B119" s="6">
        <v>450051</v>
      </c>
      <c r="C119" s="2" t="s">
        <v>104</v>
      </c>
      <c r="D119" s="7">
        <v>0.35</v>
      </c>
      <c r="E119" s="8">
        <v>4.7300000000000004</v>
      </c>
    </row>
    <row r="120" spans="1:5">
      <c r="A120" s="2" t="s">
        <v>246</v>
      </c>
      <c r="B120" s="6">
        <v>450051</v>
      </c>
      <c r="C120" s="2" t="s">
        <v>104</v>
      </c>
      <c r="D120" s="7">
        <v>0.22</v>
      </c>
      <c r="E120" s="8">
        <v>2.93</v>
      </c>
    </row>
    <row r="121" spans="1:5">
      <c r="A121" s="2" t="s">
        <v>122</v>
      </c>
      <c r="B121" s="6">
        <v>450051</v>
      </c>
      <c r="C121" s="2" t="s">
        <v>104</v>
      </c>
      <c r="D121" s="7">
        <v>0.27</v>
      </c>
      <c r="E121" s="8">
        <v>3.74</v>
      </c>
    </row>
    <row r="122" spans="1:5">
      <c r="A122" s="6" t="s">
        <v>124</v>
      </c>
      <c r="B122" s="6" t="s">
        <v>189</v>
      </c>
      <c r="C122" s="6" t="s">
        <v>104</v>
      </c>
      <c r="D122" s="7">
        <v>1.52</v>
      </c>
      <c r="E122" s="8">
        <v>34.130000000000003</v>
      </c>
    </row>
    <row r="123" spans="1:5">
      <c r="A123" s="6" t="s">
        <v>231</v>
      </c>
      <c r="B123" s="6">
        <v>450051</v>
      </c>
      <c r="C123" s="6" t="s">
        <v>104</v>
      </c>
      <c r="D123" s="7">
        <v>1.03</v>
      </c>
      <c r="E123" s="8">
        <v>13.95</v>
      </c>
    </row>
    <row r="124" spans="1:5">
      <c r="A124" s="6" t="s">
        <v>232</v>
      </c>
      <c r="B124" s="6">
        <v>450051</v>
      </c>
      <c r="C124" s="6" t="s">
        <v>104</v>
      </c>
      <c r="D124" s="7">
        <v>1.2</v>
      </c>
      <c r="E124" s="8">
        <v>16.2</v>
      </c>
    </row>
    <row r="125" spans="1:5">
      <c r="A125" s="6" t="s">
        <v>233</v>
      </c>
      <c r="B125" s="6">
        <v>450051</v>
      </c>
      <c r="C125" s="6" t="s">
        <v>104</v>
      </c>
      <c r="D125" s="7">
        <v>0.47</v>
      </c>
      <c r="E125" s="8">
        <v>6.3</v>
      </c>
    </row>
    <row r="126" spans="1:5">
      <c r="A126" s="6" t="s">
        <v>234</v>
      </c>
      <c r="B126" s="6">
        <v>450051</v>
      </c>
      <c r="C126" s="6" t="s">
        <v>104</v>
      </c>
      <c r="D126" s="7">
        <v>0.35</v>
      </c>
      <c r="E126" s="8">
        <v>4.7300000000000004</v>
      </c>
    </row>
    <row r="127" spans="1:5">
      <c r="A127" s="204" t="s">
        <v>7</v>
      </c>
      <c r="B127" s="6"/>
      <c r="C127" s="6"/>
      <c r="D127" s="207">
        <f>SUM(D119:D126)</f>
        <v>5.4099999999999993</v>
      </c>
      <c r="E127" s="206">
        <f>SUM(E119:E126)</f>
        <v>86.710000000000008</v>
      </c>
    </row>
    <row r="128" spans="1:5">
      <c r="A128" s="204"/>
      <c r="B128" s="6"/>
      <c r="C128" s="6"/>
      <c r="D128" s="207"/>
      <c r="E128" s="206"/>
    </row>
    <row r="129" spans="1:5">
      <c r="D129" s="4"/>
      <c r="E129" s="5"/>
    </row>
    <row r="130" spans="1:5">
      <c r="A130" s="1" t="s">
        <v>194</v>
      </c>
      <c r="D130" s="207">
        <f>D7+D10+D14+D19+D23+D43+D47+D52+D57+D64+D67+D70+D76+D80+D83+D86+D92+D95+D98+D101+D105+D108+D111+D114+D117+D127</f>
        <v>532.03000000000009</v>
      </c>
      <c r="E130" s="207">
        <f>E7+E10+E14+E19+E23+E43+E47+E52+E57+E64+E67+E70+E76+E80+E83+E86+E92+E95+E98+E101+E105+E108+E111+E114+E117+E127</f>
        <v>11883.599999999999</v>
      </c>
    </row>
  </sheetData>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75"/>
  <sheetViews>
    <sheetView workbookViewId="0">
      <pane ySplit="1" topLeftCell="A53" activePane="bottomLeft" state="frozenSplit"/>
      <selection pane="bottomLeft" activeCell="D76" sqref="D76"/>
    </sheetView>
  </sheetViews>
  <sheetFormatPr defaultRowHeight="12.75"/>
  <cols>
    <col min="1" max="1" width="31.7109375" customWidth="1"/>
    <col min="2" max="2" width="22.7109375" customWidth="1"/>
    <col min="3" max="3" width="36.7109375" customWidth="1"/>
    <col min="4" max="4" width="22.7109375" customWidth="1"/>
    <col min="5" max="5" width="25.7109375" customWidth="1"/>
  </cols>
  <sheetData>
    <row r="1" spans="1:5">
      <c r="A1" s="1" t="s">
        <v>147</v>
      </c>
      <c r="B1" s="1" t="s">
        <v>148</v>
      </c>
      <c r="C1" s="1" t="s">
        <v>149</v>
      </c>
      <c r="D1" s="1" t="s">
        <v>150</v>
      </c>
      <c r="E1" s="1" t="s">
        <v>151</v>
      </c>
    </row>
    <row r="2" spans="1:5">
      <c r="A2" s="6" t="s">
        <v>20</v>
      </c>
      <c r="B2" s="6" t="s">
        <v>152</v>
      </c>
      <c r="C2" s="6" t="s">
        <v>15</v>
      </c>
      <c r="D2" s="7">
        <v>0.37</v>
      </c>
      <c r="E2" s="8">
        <v>9.6300000000000008</v>
      </c>
    </row>
    <row r="3" spans="1:5">
      <c r="A3" s="6" t="s">
        <v>18</v>
      </c>
      <c r="B3" s="6" t="s">
        <v>152</v>
      </c>
      <c r="C3" s="6" t="s">
        <v>15</v>
      </c>
      <c r="D3" s="7">
        <v>1</v>
      </c>
      <c r="E3" s="8">
        <v>27.84</v>
      </c>
    </row>
    <row r="4" spans="1:5">
      <c r="A4" s="2" t="s">
        <v>19</v>
      </c>
      <c r="B4" s="3" t="s">
        <v>152</v>
      </c>
      <c r="C4" s="2" t="s">
        <v>15</v>
      </c>
      <c r="D4" s="7">
        <v>0.62</v>
      </c>
      <c r="E4" s="8">
        <v>18.41</v>
      </c>
    </row>
    <row r="5" spans="1:5">
      <c r="A5" s="6" t="s">
        <v>21</v>
      </c>
      <c r="B5" s="6" t="s">
        <v>152</v>
      </c>
      <c r="C5" s="6" t="s">
        <v>15</v>
      </c>
      <c r="D5" s="7">
        <v>0.55000000000000004</v>
      </c>
      <c r="E5" s="8">
        <v>17.37</v>
      </c>
    </row>
    <row r="6" spans="1:5">
      <c r="A6" s="6" t="s">
        <v>16</v>
      </c>
      <c r="B6" s="210" t="s">
        <v>152</v>
      </c>
      <c r="C6" s="6" t="s">
        <v>15</v>
      </c>
      <c r="D6" s="7">
        <v>1</v>
      </c>
      <c r="E6" s="8">
        <v>25.11</v>
      </c>
    </row>
    <row r="7" spans="1:5">
      <c r="A7" s="204" t="s">
        <v>7</v>
      </c>
      <c r="B7" s="6"/>
      <c r="C7" s="6"/>
      <c r="D7" s="205">
        <f>SUM(D2:D6)</f>
        <v>3.54</v>
      </c>
      <c r="E7" s="206">
        <f>SUM(E2:E6)</f>
        <v>98.36</v>
      </c>
    </row>
    <row r="8" spans="1:5">
      <c r="A8" s="6"/>
      <c r="B8" s="6"/>
      <c r="C8" s="6"/>
      <c r="D8" s="7"/>
      <c r="E8" s="8"/>
    </row>
    <row r="9" spans="1:5">
      <c r="A9" s="2" t="s">
        <v>28</v>
      </c>
      <c r="B9" s="3" t="s">
        <v>217</v>
      </c>
      <c r="C9" s="2" t="s">
        <v>218</v>
      </c>
      <c r="D9" s="7">
        <v>0.03</v>
      </c>
      <c r="E9" s="8">
        <v>0.93</v>
      </c>
    </row>
    <row r="10" spans="1:5">
      <c r="A10" s="204" t="s">
        <v>7</v>
      </c>
      <c r="B10" s="6"/>
      <c r="C10" s="6"/>
      <c r="D10" s="207">
        <v>0.03</v>
      </c>
      <c r="E10" s="206">
        <v>0.93</v>
      </c>
    </row>
    <row r="11" spans="1:5">
      <c r="A11" s="6"/>
      <c r="B11" s="6"/>
      <c r="C11" s="6"/>
      <c r="D11" s="7"/>
      <c r="E11" s="8"/>
    </row>
    <row r="12" spans="1:5">
      <c r="A12" s="6" t="s">
        <v>30</v>
      </c>
      <c r="B12" s="6" t="s">
        <v>155</v>
      </c>
      <c r="C12" s="6" t="s">
        <v>31</v>
      </c>
      <c r="D12" s="7">
        <v>0.2</v>
      </c>
      <c r="E12" s="8">
        <v>5.0999999999999996</v>
      </c>
    </row>
    <row r="13" spans="1:5">
      <c r="A13" s="204" t="s">
        <v>7</v>
      </c>
      <c r="B13" s="6"/>
      <c r="C13" s="6"/>
      <c r="D13" s="207">
        <f>SUM(D12:D12)</f>
        <v>0.2</v>
      </c>
      <c r="E13" s="206">
        <f>SUM(E12:E12)</f>
        <v>5.0999999999999996</v>
      </c>
    </row>
    <row r="14" spans="1:5">
      <c r="A14" s="204"/>
      <c r="B14" s="6"/>
      <c r="C14" s="6"/>
      <c r="D14" s="207"/>
      <c r="E14" s="206"/>
    </row>
    <row r="15" spans="1:5">
      <c r="A15" s="6" t="s">
        <v>94</v>
      </c>
      <c r="B15" s="6" t="s">
        <v>156</v>
      </c>
      <c r="C15" s="6" t="s">
        <v>91</v>
      </c>
      <c r="D15" s="7">
        <v>1.77</v>
      </c>
      <c r="E15" s="8">
        <v>49.03</v>
      </c>
    </row>
    <row r="16" spans="1:5">
      <c r="A16" s="204" t="s">
        <v>7</v>
      </c>
      <c r="B16" s="6"/>
      <c r="C16" s="6"/>
      <c r="D16" s="207">
        <f>SUM(D15:D15)</f>
        <v>1.77</v>
      </c>
      <c r="E16" s="206">
        <f>SUM(E15:E15)</f>
        <v>49.03</v>
      </c>
    </row>
    <row r="17" spans="1:5">
      <c r="A17" s="6"/>
      <c r="B17" s="6"/>
      <c r="C17" s="6"/>
      <c r="D17" s="7"/>
      <c r="E17" s="8"/>
    </row>
    <row r="18" spans="1:5">
      <c r="A18" s="2" t="s">
        <v>210</v>
      </c>
      <c r="B18" s="3" t="s">
        <v>157</v>
      </c>
      <c r="C18" s="2" t="s">
        <v>66</v>
      </c>
      <c r="D18" s="7">
        <v>3.37</v>
      </c>
      <c r="E18" s="8">
        <v>60.6</v>
      </c>
    </row>
    <row r="19" spans="1:5">
      <c r="A19" s="6" t="s">
        <v>89</v>
      </c>
      <c r="B19" s="6" t="s">
        <v>157</v>
      </c>
      <c r="C19" s="6" t="s">
        <v>66</v>
      </c>
      <c r="D19" s="7">
        <v>4.82</v>
      </c>
      <c r="E19" s="8">
        <v>86.7</v>
      </c>
    </row>
    <row r="20" spans="1:5">
      <c r="A20" s="6" t="s">
        <v>255</v>
      </c>
      <c r="B20" s="210" t="s">
        <v>157</v>
      </c>
      <c r="C20" s="6" t="s">
        <v>66</v>
      </c>
      <c r="D20" s="7">
        <v>4.82</v>
      </c>
      <c r="E20" s="8">
        <v>86.7</v>
      </c>
    </row>
    <row r="21" spans="1:5">
      <c r="A21" s="6" t="s">
        <v>88</v>
      </c>
      <c r="B21" s="6" t="s">
        <v>157</v>
      </c>
      <c r="C21" s="6" t="s">
        <v>66</v>
      </c>
      <c r="D21" s="7">
        <v>0.02</v>
      </c>
      <c r="E21" s="8">
        <v>0.3</v>
      </c>
    </row>
    <row r="22" spans="1:5">
      <c r="A22" s="6" t="s">
        <v>35</v>
      </c>
      <c r="B22" s="6" t="s">
        <v>157</v>
      </c>
      <c r="C22" s="6" t="s">
        <v>66</v>
      </c>
      <c r="D22" s="7">
        <v>3.42</v>
      </c>
      <c r="E22" s="8">
        <v>75.13</v>
      </c>
    </row>
    <row r="23" spans="1:5">
      <c r="A23" s="6" t="s">
        <v>64</v>
      </c>
      <c r="B23" s="210" t="s">
        <v>157</v>
      </c>
      <c r="C23" s="6" t="s">
        <v>66</v>
      </c>
      <c r="D23" s="7">
        <v>0.18</v>
      </c>
      <c r="E23" s="8">
        <v>3.16</v>
      </c>
    </row>
    <row r="24" spans="1:5">
      <c r="A24" s="204" t="s">
        <v>7</v>
      </c>
      <c r="B24" s="6"/>
      <c r="C24" s="6"/>
      <c r="D24" s="207">
        <f>SUM(D18:D23)</f>
        <v>16.630000000000003</v>
      </c>
      <c r="E24" s="206">
        <f>SUM(E18:E23)</f>
        <v>312.59000000000003</v>
      </c>
    </row>
    <row r="25" spans="1:5">
      <c r="A25" s="6"/>
      <c r="B25" s="6"/>
      <c r="C25" s="6"/>
      <c r="D25" s="7"/>
      <c r="E25" s="8"/>
    </row>
    <row r="26" spans="1:5">
      <c r="A26" s="6" t="s">
        <v>42</v>
      </c>
      <c r="B26" s="210" t="s">
        <v>170</v>
      </c>
      <c r="C26" s="6" t="s">
        <v>43</v>
      </c>
      <c r="D26" s="7">
        <v>0.12</v>
      </c>
      <c r="E26" s="8">
        <v>3.46</v>
      </c>
    </row>
    <row r="27" spans="1:5">
      <c r="A27" s="204" t="s">
        <v>7</v>
      </c>
      <c r="B27" s="6"/>
      <c r="C27" s="6"/>
      <c r="D27" s="207">
        <f>SUM(D26)</f>
        <v>0.12</v>
      </c>
      <c r="E27" s="206">
        <f>SUM(E26)</f>
        <v>3.46</v>
      </c>
    </row>
    <row r="28" spans="1:5">
      <c r="A28" s="204"/>
      <c r="B28" s="6"/>
      <c r="C28" s="6"/>
      <c r="D28" s="207"/>
      <c r="E28" s="206"/>
    </row>
    <row r="29" spans="1:5">
      <c r="A29" s="6" t="s">
        <v>239</v>
      </c>
      <c r="B29" s="210" t="s">
        <v>240</v>
      </c>
      <c r="C29" s="6" t="s">
        <v>241</v>
      </c>
      <c r="D29" s="7">
        <v>0.7</v>
      </c>
      <c r="E29" s="8">
        <v>16.8</v>
      </c>
    </row>
    <row r="30" spans="1:5">
      <c r="A30" s="204" t="s">
        <v>7</v>
      </c>
      <c r="B30" s="6"/>
      <c r="C30" s="6"/>
      <c r="D30" s="207">
        <f>SUM(D29)</f>
        <v>0.7</v>
      </c>
      <c r="E30" s="206">
        <f>SUM(E29)</f>
        <v>16.8</v>
      </c>
    </row>
    <row r="31" spans="1:5">
      <c r="A31" s="6"/>
      <c r="B31" s="6"/>
      <c r="C31" s="6"/>
      <c r="D31" s="7"/>
      <c r="E31" s="8"/>
    </row>
    <row r="32" spans="1:5">
      <c r="A32" s="2" t="s">
        <v>229</v>
      </c>
      <c r="B32" s="6" t="s">
        <v>171</v>
      </c>
      <c r="C32" s="6" t="s">
        <v>25</v>
      </c>
      <c r="D32" s="7">
        <v>5.17</v>
      </c>
      <c r="E32" s="8">
        <v>135.63</v>
      </c>
    </row>
    <row r="33" spans="1:5">
      <c r="A33" s="6" t="s">
        <v>222</v>
      </c>
      <c r="B33" s="210" t="s">
        <v>171</v>
      </c>
      <c r="C33" s="6" t="s">
        <v>25</v>
      </c>
      <c r="D33" s="7">
        <v>6</v>
      </c>
      <c r="E33" s="8">
        <v>157.5</v>
      </c>
    </row>
    <row r="34" spans="1:5">
      <c r="A34" s="6" t="s">
        <v>26</v>
      </c>
      <c r="B34" s="6" t="s">
        <v>171</v>
      </c>
      <c r="C34" s="6" t="s">
        <v>25</v>
      </c>
      <c r="D34" s="7">
        <v>1.87</v>
      </c>
      <c r="E34" s="8">
        <v>50.4</v>
      </c>
    </row>
    <row r="35" spans="1:5">
      <c r="A35" s="6" t="s">
        <v>223</v>
      </c>
      <c r="B35" s="210" t="s">
        <v>171</v>
      </c>
      <c r="C35" s="6" t="s">
        <v>25</v>
      </c>
      <c r="D35" s="7">
        <v>0.65</v>
      </c>
      <c r="E35" s="8">
        <v>16.579999999999998</v>
      </c>
    </row>
    <row r="36" spans="1:5">
      <c r="A36" s="204" t="s">
        <v>7</v>
      </c>
      <c r="B36" s="6"/>
      <c r="C36" s="6"/>
      <c r="D36" s="207">
        <f>SUM(D32:D35)</f>
        <v>13.69</v>
      </c>
      <c r="E36" s="206">
        <f>SUM(E32:E35)</f>
        <v>360.10999999999996</v>
      </c>
    </row>
    <row r="37" spans="1:5">
      <c r="A37" s="6"/>
      <c r="B37" s="6"/>
      <c r="C37" s="6"/>
      <c r="D37" s="7"/>
      <c r="E37" s="8"/>
    </row>
    <row r="38" spans="1:5">
      <c r="A38" s="6" t="s">
        <v>13</v>
      </c>
      <c r="B38" s="6" t="s">
        <v>172</v>
      </c>
      <c r="C38" s="6" t="s">
        <v>12</v>
      </c>
      <c r="D38" s="7">
        <v>17.77</v>
      </c>
      <c r="E38" s="8">
        <v>640.66999999999996</v>
      </c>
    </row>
    <row r="39" spans="1:5">
      <c r="A39" s="204" t="s">
        <v>7</v>
      </c>
      <c r="B39" s="6"/>
      <c r="C39" s="6"/>
      <c r="D39" s="207">
        <f>SUM(D38:D38)</f>
        <v>17.77</v>
      </c>
      <c r="E39" s="206">
        <f>SUM(E38:E38)</f>
        <v>640.66999999999996</v>
      </c>
    </row>
    <row r="40" spans="1:5">
      <c r="A40" s="204"/>
      <c r="B40" s="6"/>
      <c r="C40" s="6"/>
      <c r="D40" s="207"/>
      <c r="E40" s="206"/>
    </row>
    <row r="41" spans="1:5">
      <c r="A41" s="6" t="s">
        <v>256</v>
      </c>
      <c r="B41" s="3" t="s">
        <v>225</v>
      </c>
      <c r="C41" s="2" t="s">
        <v>243</v>
      </c>
      <c r="D41" s="7">
        <v>1.73</v>
      </c>
      <c r="E41" s="8">
        <v>62.5</v>
      </c>
    </row>
    <row r="42" spans="1:5">
      <c r="A42" s="204" t="s">
        <v>7</v>
      </c>
      <c r="B42" s="6"/>
      <c r="C42" s="6"/>
      <c r="D42" s="207">
        <v>1.73</v>
      </c>
      <c r="E42" s="206">
        <v>62.5</v>
      </c>
    </row>
    <row r="43" spans="1:5">
      <c r="A43" s="204"/>
      <c r="B43" s="6"/>
      <c r="C43" s="6"/>
      <c r="D43" s="207"/>
      <c r="E43" s="206"/>
    </row>
    <row r="44" spans="1:5">
      <c r="A44" s="6" t="s">
        <v>205</v>
      </c>
      <c r="B44" s="6">
        <v>100035</v>
      </c>
      <c r="C44" s="6" t="s">
        <v>206</v>
      </c>
      <c r="D44" s="7">
        <v>1.23</v>
      </c>
      <c r="E44" s="8">
        <v>35.58</v>
      </c>
    </row>
    <row r="45" spans="1:5">
      <c r="A45" s="204" t="s">
        <v>7</v>
      </c>
      <c r="B45" s="6"/>
      <c r="C45" s="6"/>
      <c r="D45" s="207">
        <f>SUM(D44)</f>
        <v>1.23</v>
      </c>
      <c r="E45" s="206">
        <f>SUM(E44)</f>
        <v>35.58</v>
      </c>
    </row>
    <row r="46" spans="1:5">
      <c r="A46" s="6"/>
      <c r="B46" s="6"/>
      <c r="C46" s="6"/>
      <c r="D46" s="7"/>
      <c r="E46" s="8"/>
    </row>
    <row r="47" spans="1:5">
      <c r="A47" s="6" t="s">
        <v>37</v>
      </c>
      <c r="B47" s="6">
        <v>100051</v>
      </c>
      <c r="C47" s="6" t="s">
        <v>34</v>
      </c>
      <c r="D47" s="7">
        <v>5</v>
      </c>
      <c r="E47" s="8">
        <v>106.35</v>
      </c>
    </row>
    <row r="48" spans="1:5">
      <c r="A48" s="204" t="s">
        <v>7</v>
      </c>
      <c r="B48" s="6"/>
      <c r="C48" s="6"/>
      <c r="D48" s="207">
        <f>SUM(D47:D47)</f>
        <v>5</v>
      </c>
      <c r="E48" s="206">
        <f>SUM(E47:E47)</f>
        <v>106.35</v>
      </c>
    </row>
    <row r="49" spans="1:5">
      <c r="A49" s="204"/>
      <c r="B49" s="6"/>
      <c r="C49" s="6"/>
      <c r="D49" s="207"/>
      <c r="E49" s="206"/>
    </row>
    <row r="50" spans="1:5">
      <c r="A50" s="6" t="s">
        <v>145</v>
      </c>
      <c r="B50" s="6" t="s">
        <v>178</v>
      </c>
      <c r="C50" s="6" t="s">
        <v>146</v>
      </c>
      <c r="D50" s="7">
        <v>1.07</v>
      </c>
      <c r="E50" s="8">
        <v>30.77</v>
      </c>
    </row>
    <row r="51" spans="1:5">
      <c r="A51" s="204" t="s">
        <v>7</v>
      </c>
      <c r="B51" s="6"/>
      <c r="C51" s="6"/>
      <c r="D51" s="207">
        <f>SUM(D50)</f>
        <v>1.07</v>
      </c>
      <c r="E51" s="206">
        <f>SUM(E50)</f>
        <v>30.77</v>
      </c>
    </row>
    <row r="52" spans="1:5">
      <c r="A52" s="6"/>
      <c r="B52" s="6"/>
      <c r="C52" s="6"/>
      <c r="D52" s="7"/>
      <c r="E52" s="8"/>
    </row>
    <row r="53" spans="1:5">
      <c r="A53" s="6" t="s">
        <v>95</v>
      </c>
      <c r="B53" s="6" t="s">
        <v>180</v>
      </c>
      <c r="C53" s="6" t="s">
        <v>96</v>
      </c>
      <c r="D53" s="7">
        <v>3.27</v>
      </c>
      <c r="E53" s="8">
        <v>88.15</v>
      </c>
    </row>
    <row r="54" spans="1:5">
      <c r="A54" s="204" t="s">
        <v>7</v>
      </c>
      <c r="B54" s="6"/>
      <c r="C54" s="6"/>
      <c r="D54" s="207">
        <f>SUM(D53)</f>
        <v>3.27</v>
      </c>
      <c r="E54" s="206">
        <f>SUM(E53)</f>
        <v>88.15</v>
      </c>
    </row>
    <row r="55" spans="1:5">
      <c r="A55" s="6"/>
      <c r="B55" s="6"/>
      <c r="C55" s="6"/>
      <c r="D55" s="7"/>
      <c r="E55" s="8"/>
    </row>
    <row r="56" spans="1:5">
      <c r="A56" s="2" t="s">
        <v>244</v>
      </c>
      <c r="B56" s="6">
        <v>400020</v>
      </c>
      <c r="C56" s="2" t="s">
        <v>98</v>
      </c>
      <c r="D56" s="7">
        <v>0.93</v>
      </c>
      <c r="E56" s="8">
        <v>22.4</v>
      </c>
    </row>
    <row r="57" spans="1:5">
      <c r="A57" s="6" t="s">
        <v>97</v>
      </c>
      <c r="B57" s="6" t="s">
        <v>181</v>
      </c>
      <c r="C57" s="6" t="s">
        <v>98</v>
      </c>
      <c r="D57" s="7">
        <v>2.02</v>
      </c>
      <c r="E57" s="8">
        <v>50.02</v>
      </c>
    </row>
    <row r="58" spans="1:5">
      <c r="A58" s="204" t="s">
        <v>7</v>
      </c>
      <c r="B58" s="6"/>
      <c r="C58" s="6"/>
      <c r="D58" s="207">
        <f>SUM(D56:D57)</f>
        <v>2.95</v>
      </c>
      <c r="E58" s="206">
        <f>SUM(E56:E57)</f>
        <v>72.42</v>
      </c>
    </row>
    <row r="59" spans="1:5">
      <c r="A59" s="6"/>
      <c r="B59" s="6"/>
      <c r="C59" s="6"/>
      <c r="D59" s="7"/>
      <c r="E59" s="8"/>
    </row>
    <row r="60" spans="1:5">
      <c r="A60" s="6" t="s">
        <v>100</v>
      </c>
      <c r="B60" s="6" t="s">
        <v>182</v>
      </c>
      <c r="C60" s="6" t="s">
        <v>101</v>
      </c>
      <c r="D60" s="7">
        <v>5.68</v>
      </c>
      <c r="E60" s="8">
        <v>164.79</v>
      </c>
    </row>
    <row r="61" spans="1:5">
      <c r="A61" s="204" t="s">
        <v>7</v>
      </c>
      <c r="B61" s="6"/>
      <c r="C61" s="6"/>
      <c r="D61" s="207">
        <f>SUM(D60)</f>
        <v>5.68</v>
      </c>
      <c r="E61" s="206">
        <f>SUM(E60)</f>
        <v>164.79</v>
      </c>
    </row>
    <row r="62" spans="1:5">
      <c r="A62" s="204"/>
      <c r="B62" s="6"/>
      <c r="C62" s="6"/>
      <c r="D62" s="207"/>
      <c r="E62" s="206"/>
    </row>
    <row r="63" spans="1:5">
      <c r="A63" s="6" t="s">
        <v>245</v>
      </c>
      <c r="B63" s="6">
        <v>450044</v>
      </c>
      <c r="C63" s="6" t="s">
        <v>134</v>
      </c>
      <c r="D63" s="7">
        <v>6.92</v>
      </c>
      <c r="E63" s="8">
        <v>145.25</v>
      </c>
    </row>
    <row r="64" spans="1:5">
      <c r="A64" s="204" t="s">
        <v>7</v>
      </c>
      <c r="B64" s="6"/>
      <c r="C64" s="6"/>
      <c r="D64" s="207">
        <v>6.92</v>
      </c>
      <c r="E64" s="206">
        <v>145.25</v>
      </c>
    </row>
    <row r="65" spans="1:5">
      <c r="A65" s="6"/>
      <c r="B65" s="6"/>
      <c r="C65" s="6"/>
      <c r="D65" s="7"/>
      <c r="E65" s="8"/>
    </row>
    <row r="66" spans="1:5">
      <c r="A66" s="2" t="s">
        <v>132</v>
      </c>
      <c r="B66" s="6">
        <v>450045</v>
      </c>
      <c r="C66" s="2" t="s">
        <v>131</v>
      </c>
      <c r="D66" s="7">
        <v>0.02</v>
      </c>
      <c r="E66" s="8">
        <v>0.31</v>
      </c>
    </row>
    <row r="67" spans="1:5">
      <c r="A67" s="204" t="s">
        <v>7</v>
      </c>
      <c r="B67" s="6"/>
      <c r="C67" s="6"/>
      <c r="D67" s="207">
        <f>SUM(D66:D66)</f>
        <v>0.02</v>
      </c>
      <c r="E67" s="206">
        <f>SUM(E66:E66)</f>
        <v>0.31</v>
      </c>
    </row>
    <row r="68" spans="1:5">
      <c r="A68" s="6"/>
      <c r="B68" s="6"/>
      <c r="C68" s="6"/>
      <c r="D68" s="7"/>
      <c r="E68" s="8"/>
    </row>
    <row r="69" spans="1:5">
      <c r="A69" s="2" t="s">
        <v>130</v>
      </c>
      <c r="B69" s="6">
        <v>450049</v>
      </c>
      <c r="C69" s="2" t="s">
        <v>129</v>
      </c>
      <c r="D69" s="7">
        <v>0.22</v>
      </c>
      <c r="E69" s="8">
        <v>3.58</v>
      </c>
    </row>
    <row r="70" spans="1:5">
      <c r="A70" s="204" t="s">
        <v>7</v>
      </c>
      <c r="B70" s="6"/>
      <c r="C70" s="6"/>
      <c r="D70" s="207"/>
      <c r="E70" s="206">
        <v>3.58</v>
      </c>
    </row>
    <row r="71" spans="1:5">
      <c r="A71" s="6"/>
      <c r="B71" s="6"/>
      <c r="C71" s="6"/>
      <c r="D71" s="7"/>
      <c r="E71" s="8"/>
    </row>
    <row r="72" spans="1:5">
      <c r="A72" s="6" t="s">
        <v>257</v>
      </c>
      <c r="B72" s="6">
        <v>450052</v>
      </c>
      <c r="C72" s="6" t="s">
        <v>126</v>
      </c>
      <c r="D72" s="7">
        <v>0.63</v>
      </c>
      <c r="E72" s="8">
        <v>10.45</v>
      </c>
    </row>
    <row r="73" spans="1:5">
      <c r="A73" s="204" t="s">
        <v>7</v>
      </c>
      <c r="D73" s="4"/>
      <c r="E73" s="206">
        <v>10.45</v>
      </c>
    </row>
    <row r="74" spans="1:5">
      <c r="A74" s="204"/>
      <c r="D74" s="4"/>
      <c r="E74" s="206"/>
    </row>
    <row r="75" spans="1:5">
      <c r="A75" s="1" t="s">
        <v>194</v>
      </c>
      <c r="D75" s="207">
        <v>91.09</v>
      </c>
      <c r="E75" s="207">
        <f>E7+E10+E13+E16+E24+E27+E30+E36+E39+E42+E45+E48+E51+E54+E58+E61+E64+E67+E70+E73</f>
        <v>2207.1999999999994</v>
      </c>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9945db1-958f-4ef8-99b0-7adb72d19905">
      <UserInfo>
        <DisplayName>Kevin Carpenter</DisplayName>
        <AccountId>14</AccountId>
        <AccountType/>
      </UserInfo>
      <UserInfo>
        <DisplayName>Bryan Dunford</DisplayName>
        <AccountId>29</AccountId>
        <AccountType/>
      </UserInfo>
    </SharedWithUsers>
    <TaxCatchAll xmlns="c9945db1-958f-4ef8-99b0-7adb72d19905" xsi:nil="true"/>
    <lcf76f155ced4ddcb4097134ff3c332f xmlns="57b6239e-c87d-4c9c-9b28-5c27544dade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84E25C2FE0D846852C7D57F5DFF84E" ma:contentTypeVersion="14" ma:contentTypeDescription="Create a new document." ma:contentTypeScope="" ma:versionID="4731911dc71187902398768f5a47c54e">
  <xsd:schema xmlns:xsd="http://www.w3.org/2001/XMLSchema" xmlns:xs="http://www.w3.org/2001/XMLSchema" xmlns:p="http://schemas.microsoft.com/office/2006/metadata/properties" xmlns:ns2="57b6239e-c87d-4c9c-9b28-5c27544dade6" xmlns:ns3="c9945db1-958f-4ef8-99b0-7adb72d19905" targetNamespace="http://schemas.microsoft.com/office/2006/metadata/properties" ma:root="true" ma:fieldsID="3c53c273eeb020937b2d32ee3f8ff05b" ns2:_="" ns3:_="">
    <xsd:import namespace="57b6239e-c87d-4c9c-9b28-5c27544dade6"/>
    <xsd:import namespace="c9945db1-958f-4ef8-99b0-7adb72d1990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6239e-c87d-4c9c-9b28-5c27544dad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8c72a32-bdaa-4f5f-b7f0-55d5e28e748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945db1-958f-4ef8-99b0-7adb72d1990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b11e534-d3f1-46b7-9df0-d4ee23d241cf}" ma:internalName="TaxCatchAll" ma:showField="CatchAllData" ma:web="c9945db1-958f-4ef8-99b0-7adb72d1990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CBCAC1-8E76-41DE-B2F3-D47C2F91CEAA}">
  <ds:schemaRefs>
    <ds:schemaRef ds:uri="http://schemas.microsoft.com/office/2006/metadata/properties"/>
    <ds:schemaRef ds:uri="http://schemas.microsoft.com/office/infopath/2007/PartnerControls"/>
    <ds:schemaRef ds:uri="c9945db1-958f-4ef8-99b0-7adb72d19905"/>
    <ds:schemaRef ds:uri="57b6239e-c87d-4c9c-9b28-5c27544dade6"/>
  </ds:schemaRefs>
</ds:datastoreItem>
</file>

<file path=customXml/itemProps2.xml><?xml version="1.0" encoding="utf-8"?>
<ds:datastoreItem xmlns:ds="http://schemas.openxmlformats.org/officeDocument/2006/customXml" ds:itemID="{E3737B9E-25CD-4158-96B7-951FE3CEB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6239e-c87d-4c9c-9b28-5c27544dade6"/>
    <ds:schemaRef ds:uri="c9945db1-958f-4ef8-99b0-7adb72d19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0A7F5-9954-48D6-9845-96399AC926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Jan-April 2019</vt:lpstr>
      <vt:lpstr>May 2019</vt:lpstr>
      <vt:lpstr>June 2019</vt:lpstr>
      <vt:lpstr>July 2019</vt:lpstr>
      <vt:lpstr>August 2019</vt:lpstr>
      <vt:lpstr>Sept 2019</vt:lpstr>
      <vt:lpstr>Oct 2019</vt:lpstr>
      <vt:lpstr>Nov 2019</vt:lpstr>
      <vt:lpstr>Dec 2019</vt:lpstr>
      <vt:lpstr>Jan 2020</vt:lpstr>
      <vt:lpstr>Feb 2020</vt:lpstr>
      <vt:lpstr>Mar 2020</vt:lpstr>
      <vt:lpstr>Apr 2020</vt:lpstr>
      <vt:lpstr>May 2020</vt:lpstr>
      <vt:lpstr>June 2020</vt:lpstr>
      <vt:lpstr>July 2020</vt:lpstr>
      <vt:lpstr>Aug 2020</vt:lpstr>
      <vt:lpstr>Sep 2020</vt:lpstr>
      <vt:lpstr>Oct 2020</vt:lpstr>
      <vt:lpstr>Nov 2020</vt:lpstr>
      <vt:lpstr>Dec 2020</vt:lpstr>
      <vt:lpstr>2020 Summary</vt:lpstr>
      <vt:lpstr>Jan 2021</vt:lpstr>
      <vt:lpstr>Feb 2021</vt:lpstr>
      <vt:lpstr>Mar 2021</vt:lpstr>
      <vt:lpstr>Apr 2021</vt:lpstr>
      <vt:lpstr>May 2021</vt:lpstr>
      <vt:lpstr>June 2021</vt:lpstr>
      <vt:lpstr>July 2021</vt:lpstr>
      <vt:lpstr>Aug 2021</vt:lpstr>
      <vt:lpstr>Sept 2021</vt:lpstr>
      <vt:lpstr>Oct 2021</vt:lpstr>
      <vt:lpstr>Nov 2021</vt:lpstr>
      <vt:lpstr>Dec 2021</vt:lpstr>
      <vt:lpstr>2021 Summary</vt:lpstr>
      <vt:lpstr>Jan 2022</vt:lpstr>
      <vt:lpstr>Feb 2022</vt:lpstr>
      <vt:lpstr>March 2022</vt:lpstr>
      <vt:lpstr>April 2022</vt:lpstr>
      <vt:lpstr>May 2022</vt:lpstr>
      <vt:lpstr>June 2022</vt:lpstr>
      <vt:lpstr>July 2022</vt:lpstr>
      <vt:lpstr>August 2022</vt:lpstr>
      <vt:lpstr>Sept 2022</vt:lpstr>
      <vt:lpstr>Oct. 2022</vt:lpstr>
      <vt:lpstr>Nov. 2022</vt:lpstr>
      <vt:lpstr>Dec. 2022</vt:lpstr>
      <vt:lpstr>2022 Summary</vt:lpstr>
      <vt:lpstr>Jan 2023</vt:lpstr>
      <vt:lpstr>Feb 2023</vt:lpstr>
      <vt:lpstr>March 2023</vt:lpstr>
      <vt:lpstr>April 2023</vt:lpstr>
      <vt:lpstr>May 2023</vt:lpstr>
      <vt:lpstr>June 2023</vt:lpstr>
      <vt:lpstr>July 2023</vt:lpstr>
      <vt:lpstr>August 2023</vt:lpstr>
      <vt:lpstr>September 2023</vt:lpstr>
      <vt:lpstr>October 2023</vt:lpstr>
      <vt:lpstr>November 2023</vt:lpstr>
      <vt:lpstr>2023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Paula Olszewski</dc:creator>
  <cp:keywords/>
  <dc:description/>
  <cp:lastModifiedBy>Aspen Kelley</cp:lastModifiedBy>
  <cp:revision/>
  <dcterms:created xsi:type="dcterms:W3CDTF">2019-06-03T16:51:29Z</dcterms:created>
  <dcterms:modified xsi:type="dcterms:W3CDTF">2023-12-20T17:37:56Z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0x0101001284E25C2FE0D846852C7D57F5DFF84E</vt:lpwstr>
  </property>
  <property fmtid="{D5CDD505-2E9C-101B-9397-08002B2CF9AE}" pid="3" name="MediaServiceImageTags">
    <vt:lpwstr/>
  </property>
</Properties>
</file>